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<sst xmlns="http://schemas.openxmlformats.org/spreadsheetml/2006/main" count="225" uniqueCount="225">
  <si>
    <t>Slepý stavební rozpočet</t>
  </si>
  <si>
    <t>Název stavby:</t>
  </si>
  <si>
    <t xml:space="preserve"> </t>
  </si>
  <si>
    <t>Doba výstavby:</t>
  </si>
  <si>
    <t>Objednatel:</t>
  </si>
  <si>
    <t> </t>
  </si>
  <si>
    <t>Druh stavby:</t>
  </si>
  <si>
    <t>Začátek výstavby:</t>
  </si>
  <si>
    <t>02.02.2023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</si>
  <si>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</si>
  <si>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</si>
  <si>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</si>
  <si>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</si>
  <si>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</si>
  <si>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</si>
  <si>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</si>
  <si>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</si>
  <si>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</si>
  <si>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</si>
  <si>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</si>
  <si>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</si>
  <si>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</si>
  <si>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</si>
  <si>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</si>
  <si>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</si>
  <si>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</si>
  <si>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</si>
  <si>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</si>
  <si>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</si>
  <si>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</si>
  <si>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</si>
  <si>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</si>
  <si>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</si>
  <si>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</si>
  <si>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</si>
  <si>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</si>
  <si>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</si>
  <si>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</si>
  <si>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</si>
  <si>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</si>
  <si>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</si>
  <si>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</si>
  <si>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</si>
  <si>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</si>
  <si>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</si>
  <si>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</si>
  <si>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97</t>
  </si>
  <si>
    <t>Prorážení otvorů a ostatní bourací práce</t>
  </si>
  <si>
    <t>1</t>
  </si>
  <si>
    <t>974031135R00</t>
  </si>
  <si>
    <t>Vysekání rýh ve zdi cihelné 5 x 20 cm</t>
  </si>
  <si>
    <t>m</t>
  </si>
  <si>
    <t>RTS I / 2024</t>
  </si>
  <si>
    <t>97_</t>
  </si>
  <si>
    <t>9_</t>
  </si>
  <si>
    <t>_</t>
  </si>
  <si>
    <t>2</t>
  </si>
  <si>
    <t>974031164R00</t>
  </si>
  <si>
    <t>Vysekání rýh ve zdi cihelné 15 x 15 cm</t>
  </si>
  <si>
    <t>3</t>
  </si>
  <si>
    <t>979092111R00</t>
  </si>
  <si>
    <t>Vyklizení ulehlé suti z pl.do 15 m2/ hl. 2 m-ručně</t>
  </si>
  <si>
    <t>m3</t>
  </si>
  <si>
    <t>4</t>
  </si>
  <si>
    <t>VL01</t>
  </si>
  <si>
    <t>Prostupy stavebními konstrukcemi</t>
  </si>
  <si>
    <t>kpl</t>
  </si>
  <si>
    <t>RTS I / 2020</t>
  </si>
  <si>
    <t>5</t>
  </si>
  <si>
    <t>979089001R00</t>
  </si>
  <si>
    <t>Poplatek za uložení odpadního štěrku a kameniva, skupina odpadu 010408</t>
  </si>
  <si>
    <t>t</t>
  </si>
  <si>
    <t>721</t>
  </si>
  <si>
    <t>Vnitřní kanalizace</t>
  </si>
  <si>
    <t>6</t>
  </si>
  <si>
    <t>721176103R00</t>
  </si>
  <si>
    <t>Potrubí HT připojovací, D 50 x 1,8 mm</t>
  </si>
  <si>
    <t>7</t>
  </si>
  <si>
    <t>721_</t>
  </si>
  <si>
    <t>72_</t>
  </si>
  <si>
    <t>721153204R00</t>
  </si>
  <si>
    <t>Potrubí  PE připojovací, D 40 x 3,0 mm</t>
  </si>
  <si>
    <t>8</t>
  </si>
  <si>
    <t>722IZOL003VD</t>
  </si>
  <si>
    <t>Izolace návleková z PE tl. 5mm pro odpadní potrubí  DN 50</t>
  </si>
  <si>
    <t>9</t>
  </si>
  <si>
    <t>722IZOL001VD</t>
  </si>
  <si>
    <t>Izolace návleková z PE tl. 5mm pro odpadní potrubí  d 40</t>
  </si>
  <si>
    <t>10</t>
  </si>
  <si>
    <t>721194105R00</t>
  </si>
  <si>
    <t>Vyvedení odpadních výpustek, D 50 x 1,8 mm</t>
  </si>
  <si>
    <t>kus</t>
  </si>
  <si>
    <t>11</t>
  </si>
  <si>
    <t>721290111R00</t>
  </si>
  <si>
    <t>Zkouška těsnosti kanalizace vodou DN 125 mm</t>
  </si>
  <si>
    <t>12</t>
  </si>
  <si>
    <t>721PS001VD</t>
  </si>
  <si>
    <t>Přečerpávací stanice pro šedé odpadní vody, rozměry: 444x256x159mm, 230VAC, 50Hz, P=240W, 3,1A, H=8,8m, Q=3,4l/s  včetně montáže</t>
  </si>
  <si>
    <t>13</t>
  </si>
  <si>
    <t>895625487T1IM</t>
  </si>
  <si>
    <t>Protipožární prostupy potrubí certifikovaným materiálem s odolností min. EI60 vč.označení průchodů  identifikačními štítky certifikovanou firmou</t>
  </si>
  <si>
    <t>RTS II / 2022</t>
  </si>
  <si>
    <t>14</t>
  </si>
  <si>
    <t>998721101R00</t>
  </si>
  <si>
    <t>Přesun hmot pro vnitřní kanalizaci, výšky do 6 m</t>
  </si>
  <si>
    <t>722</t>
  </si>
  <si>
    <t>Vnitřní vodovod</t>
  </si>
  <si>
    <t>15</t>
  </si>
  <si>
    <t>722172611R00</t>
  </si>
  <si>
    <t>Potrubí plastové PP-R Instaplast, bez zednických výpomocí, D 20 x 2,8 mm, PN 16</t>
  </si>
  <si>
    <t>722_</t>
  </si>
  <si>
    <t>16</t>
  </si>
  <si>
    <t>722181213RT7</t>
  </si>
  <si>
    <t>Izolace návleková  z PE tl. stěny 13 mm, vnitřní průměr 22 mm</t>
  </si>
  <si>
    <t>17</t>
  </si>
  <si>
    <t>722280109R00</t>
  </si>
  <si>
    <t>Tlaková zkouška vodovodního potrubí DN 65 mm</t>
  </si>
  <si>
    <t>18</t>
  </si>
  <si>
    <t>722290234R00</t>
  </si>
  <si>
    <t>Proplach a dezinfekce vodovodního potrubí DN 80 mm</t>
  </si>
  <si>
    <t>19</t>
  </si>
  <si>
    <t>722202213R00T1IM</t>
  </si>
  <si>
    <t>Nástěnka DN15 PPR</t>
  </si>
  <si>
    <t>20</t>
  </si>
  <si>
    <t>722236212R00</t>
  </si>
  <si>
    <t>Kohout kulový, vnitřní-vnitřní závit, DN 15 mm</t>
  </si>
  <si>
    <t>21</t>
  </si>
  <si>
    <t>722224111R00</t>
  </si>
  <si>
    <t>Kohout plnicí a vypouštěcí, DN 15 mm</t>
  </si>
  <si>
    <t>22</t>
  </si>
  <si>
    <t>722239101R00</t>
  </si>
  <si>
    <t>Montáž vodovodních armatur 2závity, G 1/2"</t>
  </si>
  <si>
    <t>23</t>
  </si>
  <si>
    <t>722229102R00</t>
  </si>
  <si>
    <t>Montáž vodovodních armatur,1závit, G 3/4"</t>
  </si>
  <si>
    <t>24</t>
  </si>
  <si>
    <t>25</t>
  </si>
  <si>
    <t>998722101R00</t>
  </si>
  <si>
    <t>Přesun hmot pro vnitřní vodovod, výšky do 6 m</t>
  </si>
  <si>
    <t>725</t>
  </si>
  <si>
    <t>Zařizovací předměty</t>
  </si>
  <si>
    <t>26</t>
  </si>
  <si>
    <t>725017162R00</t>
  </si>
  <si>
    <t>Umyvadlo na šrouby, 550 x 450 mm, bílé</t>
  </si>
  <si>
    <t>soubor</t>
  </si>
  <si>
    <t>725_</t>
  </si>
  <si>
    <t>27</t>
  </si>
  <si>
    <t>725823121RT1</t>
  </si>
  <si>
    <t>Baterie umyvadlová stoján. ruční, vč. otvír.odpadu</t>
  </si>
  <si>
    <t>28</t>
  </si>
  <si>
    <t>725829301R00</t>
  </si>
  <si>
    <t>Montáž baterie umyv.a dřezové stojánkové</t>
  </si>
  <si>
    <t>29</t>
  </si>
  <si>
    <t>725860251R00</t>
  </si>
  <si>
    <t>Sifon umyvadlový chromovaný DN40</t>
  </si>
  <si>
    <t>30</t>
  </si>
  <si>
    <t>725219401R00</t>
  </si>
  <si>
    <t>Montáž umyvadel na šrouby do zdiva</t>
  </si>
  <si>
    <t>31</t>
  </si>
  <si>
    <t>725814107R00</t>
  </si>
  <si>
    <t>Ventil rohový s filtrem pro umyvadla a dřezy DN 15 x DN 10 včetně flexi hadičky pro dopojení baterie</t>
  </si>
  <si>
    <t>32</t>
  </si>
  <si>
    <t>725819401R00</t>
  </si>
  <si>
    <t>Montáž ventilu rohového s trubičkou G 1/2</t>
  </si>
  <si>
    <t>33</t>
  </si>
  <si>
    <t>998725101R00</t>
  </si>
  <si>
    <t>Přesun hmot pro zařizovací předměty, výšky do 6 m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</si>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</sst>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0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39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9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5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51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51:K51" activeCell="A51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42.85546875" customWidth="true"/>
    <col max="4" min="4" style="0" width="35.7109375" customWidth="true"/>
    <col max="5" min="5" style="0" width="6.425781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3.42578125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2</v>
      </c>
      <c r="H2" s="7" t="s">
        <v>4</v>
      </c>
      <c r="I2" s="4" t="s">
        <v>5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6</v>
      </c>
      <c r="B4" s="10"/>
      <c r="C4" s="14" t="s">
        <v>2</v>
      </c>
      <c r="D4" s="10"/>
      <c r="E4" s="10" t="s">
        <v>7</v>
      </c>
      <c r="F4" s="10"/>
      <c r="G4" s="10" t="s">
        <v>8</v>
      </c>
      <c r="H4" s="14" t="s">
        <v>9</v>
      </c>
      <c r="I4" s="10" t="s">
        <v>5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10</v>
      </c>
      <c r="B6" s="10"/>
      <c r="C6" s="14" t="s">
        <v>2</v>
      </c>
      <c r="D6" s="10"/>
      <c r="E6" s="10" t="s">
        <v>11</v>
      </c>
      <c r="F6" s="10"/>
      <c r="G6" s="10" t="s">
        <v>2</v>
      </c>
      <c r="H6" s="14" t="s">
        <v>12</v>
      </c>
      <c r="I6" s="10" t="s">
        <v>5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13</v>
      </c>
      <c r="B8" s="10"/>
      <c r="C8" s="14" t="s">
        <v>2</v>
      </c>
      <c r="D8" s="10"/>
      <c r="E8" s="10" t="s">
        <v>14</v>
      </c>
      <c r="F8" s="10"/>
      <c r="G8" s="10" t="s">
        <v>8</v>
      </c>
      <c r="H8" s="14" t="s">
        <v>15</v>
      </c>
      <c r="I8" s="10" t="s">
        <v>5</v>
      </c>
      <c r="J8" s="10"/>
      <c r="K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</row>
    <row r="10">
      <c r="A10" s="18" t="s">
        <v>16</v>
      </c>
      <c r="B10" s="19" t="s">
        <v>17</v>
      </c>
      <c r="C10" s="20" t="s">
        <v>18</v>
      </c>
      <c r="D10" s="21"/>
      <c r="E10" s="19" t="s">
        <v>19</v>
      </c>
      <c r="F10" s="22" t="s">
        <v>20</v>
      </c>
      <c r="G10" s="23" t="s">
        <v>21</v>
      </c>
      <c r="H10" s="24" t="s">
        <v>22</v>
      </c>
      <c r="I10" s="25"/>
      <c r="J10" s="26"/>
      <c r="K10" s="27" t="s">
        <v>23</v>
      </c>
      <c r="BK10" s="28" t="s">
        <v>24</v>
      </c>
      <c r="BL10" s="29" t="s">
        <v>25</v>
      </c>
      <c r="BW10" s="29" t="s">
        <v>26</v>
      </c>
    </row>
    <row r="11">
      <c r="A11" s="30" t="s">
        <v>2</v>
      </c>
      <c r="B11" s="31" t="s">
        <v>2</v>
      </c>
      <c r="C11" s="32" t="s">
        <v>27</v>
      </c>
      <c r="D11" s="33"/>
      <c r="E11" s="31" t="s">
        <v>2</v>
      </c>
      <c r="F11" s="31" t="s">
        <v>2</v>
      </c>
      <c r="G11" s="34" t="s">
        <v>28</v>
      </c>
      <c r="H11" s="35" t="s">
        <v>29</v>
      </c>
      <c r="I11" s="36" t="s">
        <v>30</v>
      </c>
      <c r="J11" s="37" t="s">
        <v>31</v>
      </c>
      <c r="K11" s="38" t="s">
        <v>32</v>
      </c>
      <c r="Z11" s="28" t="s">
        <v>33</v>
      </c>
      <c r="AA11" s="28" t="s">
        <v>34</v>
      </c>
      <c r="AB11" s="28" t="s">
        <v>35</v>
      </c>
      <c r="AC11" s="28" t="s">
        <v>36</v>
      </c>
      <c r="AD11" s="28" t="s">
        <v>37</v>
      </c>
      <c r="AE11" s="28" t="s">
        <v>38</v>
      </c>
      <c r="AF11" s="28" t="s">
        <v>39</v>
      </c>
      <c r="AG11" s="28" t="s">
        <v>40</v>
      </c>
      <c r="AH11" s="28" t="s">
        <v>41</v>
      </c>
      <c r="BH11" s="28" t="s">
        <v>42</v>
      </c>
      <c r="BI11" s="28" t="s">
        <v>43</v>
      </c>
      <c r="BJ11" s="28" t="s">
        <v>44</v>
      </c>
    </row>
    <row r="12">
      <c r="A12" s="39" t="s">
        <v>45</v>
      </c>
      <c r="B12" s="40" t="s">
        <v>46</v>
      </c>
      <c r="C12" s="41" t="s">
        <v>47</v>
      </c>
      <c r="D12" s="40"/>
      <c r="E12" s="42" t="s">
        <v>2</v>
      </c>
      <c r="F12" s="42" t="s">
        <v>2</v>
      </c>
      <c r="G12" s="42" t="s">
        <v>2</v>
      </c>
      <c r="H12" s="43">
        <f>SUM(H13:H17)</f>
      </c>
      <c r="I12" s="43">
        <f>SUM(I13:I17)</f>
      </c>
      <c r="J12" s="43">
        <f>SUM(J13:J17)</f>
      </c>
      <c r="K12" s="44" t="s">
        <v>45</v>
      </c>
      <c r="AI12" s="28" t="s">
        <v>45</v>
      </c>
      <c r="AS12" s="2">
        <f>SUM(AJ13:AJ17)</f>
      </c>
      <c r="AT12" s="2">
        <f>SUM(AK13:AK17)</f>
      </c>
      <c r="AU12" s="2">
        <f>SUM(AL13:AL17)</f>
      </c>
    </row>
    <row r="13">
      <c r="A13" s="9" t="s">
        <v>48</v>
      </c>
      <c r="B13" s="10" t="s">
        <v>49</v>
      </c>
      <c r="C13" s="14" t="s">
        <v>50</v>
      </c>
      <c r="D13" s="10"/>
      <c r="E13" s="10" t="s">
        <v>51</v>
      </c>
      <c r="F13" s="45" t="n">
        <v>5</v>
      </c>
      <c r="G13" s="45" t="n">
        <v>0</v>
      </c>
      <c r="H13" s="45">
        <f>F13*AO13</f>
      </c>
      <c r="I13" s="45">
        <f>F13*AP13</f>
      </c>
      <c r="J13" s="45">
        <f>F13*G13</f>
      </c>
      <c r="K13" s="46" t="s">
        <v>52</v>
      </c>
      <c r="Z13" s="45">
        <f>IF(AQ13="5",BJ13,0)</f>
      </c>
      <c r="AB13" s="45">
        <f>IF(AQ13="1",BH13,0)</f>
      </c>
      <c r="AC13" s="45">
        <f>IF(AQ13="1",BI13,0)</f>
      </c>
      <c r="AD13" s="45">
        <f>IF(AQ13="7",BH13,0)</f>
      </c>
      <c r="AE13" s="45">
        <f>IF(AQ13="7",BI13,0)</f>
      </c>
      <c r="AF13" s="45">
        <f>IF(AQ13="2",BH13,0)</f>
      </c>
      <c r="AG13" s="45">
        <f>IF(AQ13="2",BI13,0)</f>
      </c>
      <c r="AH13" s="45">
        <f>IF(AQ13="0",BJ13,0)</f>
      </c>
      <c r="AI13" s="28" t="s">
        <v>45</v>
      </c>
      <c r="AJ13" s="45">
        <f>IF(AN13=0,J13,0)</f>
      </c>
      <c r="AK13" s="45">
        <f>IF(AN13=12,J13,0)</f>
      </c>
      <c r="AL13" s="45">
        <f>IF(AN13=21,J13,0)</f>
      </c>
      <c r="AN13" s="45" t="n">
        <v>12</v>
      </c>
      <c r="AO13" s="45">
        <f>G13*0.076127321</f>
      </c>
      <c r="AP13" s="45">
        <f>G13*(1-0.076127321)</f>
      </c>
      <c r="AQ13" s="47" t="s">
        <v>48</v>
      </c>
      <c r="AV13" s="45">
        <f>AW13+AX13</f>
      </c>
      <c r="AW13" s="45">
        <f>F13*AO13</f>
      </c>
      <c r="AX13" s="45">
        <f>F13*AP13</f>
      </c>
      <c r="AY13" s="47" t="s">
        <v>53</v>
      </c>
      <c r="AZ13" s="47" t="s">
        <v>54</v>
      </c>
      <c r="BA13" s="28" t="s">
        <v>55</v>
      </c>
      <c r="BC13" s="45">
        <f>AW13+AX13</f>
      </c>
      <c r="BD13" s="45">
        <f>G13/(100-BE13)*100</f>
      </c>
      <c r="BE13" s="45" t="n">
        <v>0</v>
      </c>
      <c r="BF13" s="45">
        <f>13</f>
      </c>
      <c r="BH13" s="45">
        <f>F13*AO13</f>
      </c>
      <c r="BI13" s="45">
        <f>F13*AP13</f>
      </c>
      <c r="BJ13" s="45">
        <f>F13*G13</f>
      </c>
      <c r="BK13" s="45"/>
      <c r="BL13" s="45" t="n">
        <v>97</v>
      </c>
      <c r="BW13" s="45" t="n">
        <v>12</v>
      </c>
      <c r="BX13" s="14" t="s">
        <v>50</v>
      </c>
    </row>
    <row r="14">
      <c r="A14" s="9" t="s">
        <v>56</v>
      </c>
      <c r="B14" s="10" t="s">
        <v>57</v>
      </c>
      <c r="C14" s="14" t="s">
        <v>58</v>
      </c>
      <c r="D14" s="10"/>
      <c r="E14" s="10" t="s">
        <v>51</v>
      </c>
      <c r="F14" s="45" t="n">
        <v>1</v>
      </c>
      <c r="G14" s="45" t="n">
        <v>0</v>
      </c>
      <c r="H14" s="45">
        <f>F14*AO14</f>
      </c>
      <c r="I14" s="45">
        <f>F14*AP14</f>
      </c>
      <c r="J14" s="45">
        <f>F14*G14</f>
      </c>
      <c r="K14" s="46" t="s">
        <v>52</v>
      </c>
      <c r="Z14" s="45">
        <f>IF(AQ14="5",BJ14,0)</f>
      </c>
      <c r="AB14" s="45">
        <f>IF(AQ14="1",BH14,0)</f>
      </c>
      <c r="AC14" s="45">
        <f>IF(AQ14="1",BI14,0)</f>
      </c>
      <c r="AD14" s="45">
        <f>IF(AQ14="7",BH14,0)</f>
      </c>
      <c r="AE14" s="45">
        <f>IF(AQ14="7",BI14,0)</f>
      </c>
      <c r="AF14" s="45">
        <f>IF(AQ14="2",BH14,0)</f>
      </c>
      <c r="AG14" s="45">
        <f>IF(AQ14="2",BI14,0)</f>
      </c>
      <c r="AH14" s="45">
        <f>IF(AQ14="0",BJ14,0)</f>
      </c>
      <c r="AI14" s="28" t="s">
        <v>45</v>
      </c>
      <c r="AJ14" s="45">
        <f>IF(AN14=0,J14,0)</f>
      </c>
      <c r="AK14" s="45">
        <f>IF(AN14=12,J14,0)</f>
      </c>
      <c r="AL14" s="45">
        <f>IF(AN14=21,J14,0)</f>
      </c>
      <c r="AN14" s="45" t="n">
        <v>12</v>
      </c>
      <c r="AO14" s="45">
        <f>G14*0.048481368</f>
      </c>
      <c r="AP14" s="45">
        <f>G14*(1-0.048481368)</f>
      </c>
      <c r="AQ14" s="47" t="s">
        <v>48</v>
      </c>
      <c r="AV14" s="45">
        <f>AW14+AX14</f>
      </c>
      <c r="AW14" s="45">
        <f>F14*AO14</f>
      </c>
      <c r="AX14" s="45">
        <f>F14*AP14</f>
      </c>
      <c r="AY14" s="47" t="s">
        <v>53</v>
      </c>
      <c r="AZ14" s="47" t="s">
        <v>54</v>
      </c>
      <c r="BA14" s="28" t="s">
        <v>55</v>
      </c>
      <c r="BC14" s="45">
        <f>AW14+AX14</f>
      </c>
      <c r="BD14" s="45">
        <f>G14/(100-BE14)*100</f>
      </c>
      <c r="BE14" s="45" t="n">
        <v>0</v>
      </c>
      <c r="BF14" s="45">
        <f>14</f>
      </c>
      <c r="BH14" s="45">
        <f>F14*AO14</f>
      </c>
      <c r="BI14" s="45">
        <f>F14*AP14</f>
      </c>
      <c r="BJ14" s="45">
        <f>F14*G14</f>
      </c>
      <c r="BK14" s="45"/>
      <c r="BL14" s="45" t="n">
        <v>97</v>
      </c>
      <c r="BW14" s="45" t="n">
        <v>12</v>
      </c>
      <c r="BX14" s="14" t="s">
        <v>58</v>
      </c>
    </row>
    <row r="15">
      <c r="A15" s="9" t="s">
        <v>59</v>
      </c>
      <c r="B15" s="10" t="s">
        <v>60</v>
      </c>
      <c r="C15" s="14" t="s">
        <v>61</v>
      </c>
      <c r="D15" s="10"/>
      <c r="E15" s="10" t="s">
        <v>62</v>
      </c>
      <c r="F15" s="45" t="n">
        <v>0.0725</v>
      </c>
      <c r="G15" s="45" t="n">
        <v>0</v>
      </c>
      <c r="H15" s="45">
        <f>F15*AO15</f>
      </c>
      <c r="I15" s="45">
        <f>F15*AP15</f>
      </c>
      <c r="J15" s="45">
        <f>F15*G15</f>
      </c>
      <c r="K15" s="46" t="s">
        <v>52</v>
      </c>
      <c r="Z15" s="45">
        <f>IF(AQ15="5",BJ15,0)</f>
      </c>
      <c r="AB15" s="45">
        <f>IF(AQ15="1",BH15,0)</f>
      </c>
      <c r="AC15" s="45">
        <f>IF(AQ15="1",BI15,0)</f>
      </c>
      <c r="AD15" s="45">
        <f>IF(AQ15="7",BH15,0)</f>
      </c>
      <c r="AE15" s="45">
        <f>IF(AQ15="7",BI15,0)</f>
      </c>
      <c r="AF15" s="45">
        <f>IF(AQ15="2",BH15,0)</f>
      </c>
      <c r="AG15" s="45">
        <f>IF(AQ15="2",BI15,0)</f>
      </c>
      <c r="AH15" s="45">
        <f>IF(AQ15="0",BJ15,0)</f>
      </c>
      <c r="AI15" s="28" t="s">
        <v>45</v>
      </c>
      <c r="AJ15" s="45">
        <f>IF(AN15=0,J15,0)</f>
      </c>
      <c r="AK15" s="45">
        <f>IF(AN15=12,J15,0)</f>
      </c>
      <c r="AL15" s="45">
        <f>IF(AN15=21,J15,0)</f>
      </c>
      <c r="AN15" s="45" t="n">
        <v>12</v>
      </c>
      <c r="AO15" s="45">
        <f>G15*0</f>
      </c>
      <c r="AP15" s="45">
        <f>G15*(1-0)</f>
      </c>
      <c r="AQ15" s="47" t="s">
        <v>48</v>
      </c>
      <c r="AV15" s="45">
        <f>AW15+AX15</f>
      </c>
      <c r="AW15" s="45">
        <f>F15*AO15</f>
      </c>
      <c r="AX15" s="45">
        <f>F15*AP15</f>
      </c>
      <c r="AY15" s="47" t="s">
        <v>53</v>
      </c>
      <c r="AZ15" s="47" t="s">
        <v>54</v>
      </c>
      <c r="BA15" s="28" t="s">
        <v>55</v>
      </c>
      <c r="BC15" s="45">
        <f>AW15+AX15</f>
      </c>
      <c r="BD15" s="45">
        <f>G15/(100-BE15)*100</f>
      </c>
      <c r="BE15" s="45" t="n">
        <v>0</v>
      </c>
      <c r="BF15" s="45">
        <f>15</f>
      </c>
      <c r="BH15" s="45">
        <f>F15*AO15</f>
      </c>
      <c r="BI15" s="45">
        <f>F15*AP15</f>
      </c>
      <c r="BJ15" s="45">
        <f>F15*G15</f>
      </c>
      <c r="BK15" s="45"/>
      <c r="BL15" s="45" t="n">
        <v>97</v>
      </c>
      <c r="BW15" s="45" t="n">
        <v>12</v>
      </c>
      <c r="BX15" s="14" t="s">
        <v>61</v>
      </c>
    </row>
    <row r="16">
      <c r="A16" s="9" t="s">
        <v>63</v>
      </c>
      <c r="B16" s="10" t="s">
        <v>64</v>
      </c>
      <c r="C16" s="14" t="s">
        <v>65</v>
      </c>
      <c r="D16" s="10"/>
      <c r="E16" s="10" t="s">
        <v>66</v>
      </c>
      <c r="F16" s="45" t="n">
        <v>1</v>
      </c>
      <c r="G16" s="45" t="n">
        <v>0</v>
      </c>
      <c r="H16" s="45">
        <f>F16*AO16</f>
      </c>
      <c r="I16" s="45">
        <f>F16*AP16</f>
      </c>
      <c r="J16" s="45">
        <f>F16*G16</f>
      </c>
      <c r="K16" s="46" t="s">
        <v>67</v>
      </c>
      <c r="Z16" s="45">
        <f>IF(AQ16="5",BJ16,0)</f>
      </c>
      <c r="AB16" s="45">
        <f>IF(AQ16="1",BH16,0)</f>
      </c>
      <c r="AC16" s="45">
        <f>IF(AQ16="1",BI16,0)</f>
      </c>
      <c r="AD16" s="45">
        <f>IF(AQ16="7",BH16,0)</f>
      </c>
      <c r="AE16" s="45">
        <f>IF(AQ16="7",BI16,0)</f>
      </c>
      <c r="AF16" s="45">
        <f>IF(AQ16="2",BH16,0)</f>
      </c>
      <c r="AG16" s="45">
        <f>IF(AQ16="2",BI16,0)</f>
      </c>
      <c r="AH16" s="45">
        <f>IF(AQ16="0",BJ16,0)</f>
      </c>
      <c r="AI16" s="28" t="s">
        <v>45</v>
      </c>
      <c r="AJ16" s="45">
        <f>IF(AN16=0,J16,0)</f>
      </c>
      <c r="AK16" s="45">
        <f>IF(AN16=12,J16,0)</f>
      </c>
      <c r="AL16" s="45">
        <f>IF(AN16=21,J16,0)</f>
      </c>
      <c r="AN16" s="45" t="n">
        <v>12</v>
      </c>
      <c r="AO16" s="45">
        <f>G16*0</f>
      </c>
      <c r="AP16" s="45">
        <f>G16*(1-0)</f>
      </c>
      <c r="AQ16" s="47" t="s">
        <v>48</v>
      </c>
      <c r="AV16" s="45">
        <f>AW16+AX16</f>
      </c>
      <c r="AW16" s="45">
        <f>F16*AO16</f>
      </c>
      <c r="AX16" s="45">
        <f>F16*AP16</f>
      </c>
      <c r="AY16" s="47" t="s">
        <v>53</v>
      </c>
      <c r="AZ16" s="47" t="s">
        <v>54</v>
      </c>
      <c r="BA16" s="28" t="s">
        <v>55</v>
      </c>
      <c r="BC16" s="45">
        <f>AW16+AX16</f>
      </c>
      <c r="BD16" s="45">
        <f>G16/(100-BE16)*100</f>
      </c>
      <c r="BE16" s="45" t="n">
        <v>50</v>
      </c>
      <c r="BF16" s="45">
        <f>16</f>
      </c>
      <c r="BH16" s="45">
        <f>F16*AO16</f>
      </c>
      <c r="BI16" s="45">
        <f>F16*AP16</f>
      </c>
      <c r="BJ16" s="45">
        <f>F16*G16</f>
      </c>
      <c r="BK16" s="45"/>
      <c r="BL16" s="45" t="n">
        <v>97</v>
      </c>
      <c r="BW16" s="45" t="n">
        <v>12</v>
      </c>
      <c r="BX16" s="14" t="s">
        <v>65</v>
      </c>
    </row>
    <row r="17">
      <c r="A17" s="9" t="s">
        <v>68</v>
      </c>
      <c r="B17" s="10" t="s">
        <v>69</v>
      </c>
      <c r="C17" s="14" t="s">
        <v>70</v>
      </c>
      <c r="D17" s="10"/>
      <c r="E17" s="10" t="s">
        <v>71</v>
      </c>
      <c r="F17" s="45" t="n">
        <v>0.1329</v>
      </c>
      <c r="G17" s="45" t="n">
        <v>0</v>
      </c>
      <c r="H17" s="45">
        <f>F17*AO17</f>
      </c>
      <c r="I17" s="45">
        <f>F17*AP17</f>
      </c>
      <c r="J17" s="45">
        <f>F17*G17</f>
      </c>
      <c r="K17" s="46" t="s">
        <v>52</v>
      </c>
      <c r="Z17" s="45">
        <f>IF(AQ17="5",BJ17,0)</f>
      </c>
      <c r="AB17" s="45">
        <f>IF(AQ17="1",BH17,0)</f>
      </c>
      <c r="AC17" s="45">
        <f>IF(AQ17="1",BI17,0)</f>
      </c>
      <c r="AD17" s="45">
        <f>IF(AQ17="7",BH17,0)</f>
      </c>
      <c r="AE17" s="45">
        <f>IF(AQ17="7",BI17,0)</f>
      </c>
      <c r="AF17" s="45">
        <f>IF(AQ17="2",BH17,0)</f>
      </c>
      <c r="AG17" s="45">
        <f>IF(AQ17="2",BI17,0)</f>
      </c>
      <c r="AH17" s="45">
        <f>IF(AQ17="0",BJ17,0)</f>
      </c>
      <c r="AI17" s="28" t="s">
        <v>45</v>
      </c>
      <c r="AJ17" s="45">
        <f>IF(AN17=0,J17,0)</f>
      </c>
      <c r="AK17" s="45">
        <f>IF(AN17=12,J17,0)</f>
      </c>
      <c r="AL17" s="45">
        <f>IF(AN17=21,J17,0)</f>
      </c>
      <c r="AN17" s="45" t="n">
        <v>12</v>
      </c>
      <c r="AO17" s="45">
        <f>G17*0</f>
      </c>
      <c r="AP17" s="45">
        <f>G17*(1-0)</f>
      </c>
      <c r="AQ17" s="47" t="s">
        <v>48</v>
      </c>
      <c r="AV17" s="45">
        <f>AW17+AX17</f>
      </c>
      <c r="AW17" s="45">
        <f>F17*AO17</f>
      </c>
      <c r="AX17" s="45">
        <f>F17*AP17</f>
      </c>
      <c r="AY17" s="47" t="s">
        <v>53</v>
      </c>
      <c r="AZ17" s="47" t="s">
        <v>54</v>
      </c>
      <c r="BA17" s="28" t="s">
        <v>55</v>
      </c>
      <c r="BC17" s="45">
        <f>AW17+AX17</f>
      </c>
      <c r="BD17" s="45">
        <f>G17/(100-BE17)*100</f>
      </c>
      <c r="BE17" s="45" t="n">
        <v>0</v>
      </c>
      <c r="BF17" s="45">
        <f>17</f>
      </c>
      <c r="BH17" s="45">
        <f>F17*AO17</f>
      </c>
      <c r="BI17" s="45">
        <f>F17*AP17</f>
      </c>
      <c r="BJ17" s="45">
        <f>F17*G17</f>
      </c>
      <c r="BK17" s="45"/>
      <c r="BL17" s="45" t="n">
        <v>97</v>
      </c>
      <c r="BW17" s="45" t="n">
        <v>12</v>
      </c>
      <c r="BX17" s="14" t="s">
        <v>70</v>
      </c>
    </row>
    <row r="18">
      <c r="A18" s="48" t="s">
        <v>45</v>
      </c>
      <c r="B18" s="49" t="s">
        <v>72</v>
      </c>
      <c r="C18" s="50" t="s">
        <v>73</v>
      </c>
      <c r="D18" s="49"/>
      <c r="E18" s="51" t="s">
        <v>2</v>
      </c>
      <c r="F18" s="51" t="s">
        <v>2</v>
      </c>
      <c r="G18" s="51" t="s">
        <v>2</v>
      </c>
      <c r="H18" s="2">
        <f>SUM(H19:H27)</f>
      </c>
      <c r="I18" s="2">
        <f>SUM(I19:I27)</f>
      </c>
      <c r="J18" s="2">
        <f>SUM(J19:J27)</f>
      </c>
      <c r="K18" s="52" t="s">
        <v>45</v>
      </c>
      <c r="AI18" s="28" t="s">
        <v>45</v>
      </c>
      <c r="AS18" s="2">
        <f>SUM(AJ19:AJ27)</f>
      </c>
      <c r="AT18" s="2">
        <f>SUM(AK19:AK27)</f>
      </c>
      <c r="AU18" s="2">
        <f>SUM(AL19:AL27)</f>
      </c>
    </row>
    <row r="19">
      <c r="A19" s="9" t="s">
        <v>74</v>
      </c>
      <c r="B19" s="10" t="s">
        <v>75</v>
      </c>
      <c r="C19" s="14" t="s">
        <v>76</v>
      </c>
      <c r="D19" s="10"/>
      <c r="E19" s="10" t="s">
        <v>51</v>
      </c>
      <c r="F19" s="45" t="n">
        <v>2</v>
      </c>
      <c r="G19" s="45" t="n">
        <v>0</v>
      </c>
      <c r="H19" s="45">
        <f>F19*AO19</f>
      </c>
      <c r="I19" s="45">
        <f>F19*AP19</f>
      </c>
      <c r="J19" s="45">
        <f>F19*G19</f>
      </c>
      <c r="K19" s="46" t="s">
        <v>52</v>
      </c>
      <c r="Z19" s="45">
        <f>IF(AQ19="5",BJ19,0)</f>
      </c>
      <c r="AB19" s="45">
        <f>IF(AQ19="1",BH19,0)</f>
      </c>
      <c r="AC19" s="45">
        <f>IF(AQ19="1",BI19,0)</f>
      </c>
      <c r="AD19" s="45">
        <f>IF(AQ19="7",BH19,0)</f>
      </c>
      <c r="AE19" s="45">
        <f>IF(AQ19="7",BI19,0)</f>
      </c>
      <c r="AF19" s="45">
        <f>IF(AQ19="2",BH19,0)</f>
      </c>
      <c r="AG19" s="45">
        <f>IF(AQ19="2",BI19,0)</f>
      </c>
      <c r="AH19" s="45">
        <f>IF(AQ19="0",BJ19,0)</f>
      </c>
      <c r="AI19" s="28" t="s">
        <v>45</v>
      </c>
      <c r="AJ19" s="45">
        <f>IF(AN19=0,J19,0)</f>
      </c>
      <c r="AK19" s="45">
        <f>IF(AN19=12,J19,0)</f>
      </c>
      <c r="AL19" s="45">
        <f>IF(AN19=21,J19,0)</f>
      </c>
      <c r="AN19" s="45" t="n">
        <v>12</v>
      </c>
      <c r="AO19" s="45">
        <f>G19*0.340586899</f>
      </c>
      <c r="AP19" s="45">
        <f>G19*(1-0.340586899)</f>
      </c>
      <c r="AQ19" s="47" t="s">
        <v>77</v>
      </c>
      <c r="AV19" s="45">
        <f>AW19+AX19</f>
      </c>
      <c r="AW19" s="45">
        <f>F19*AO19</f>
      </c>
      <c r="AX19" s="45">
        <f>F19*AP19</f>
      </c>
      <c r="AY19" s="47" t="s">
        <v>78</v>
      </c>
      <c r="AZ19" s="47" t="s">
        <v>79</v>
      </c>
      <c r="BA19" s="28" t="s">
        <v>55</v>
      </c>
      <c r="BC19" s="45">
        <f>AW19+AX19</f>
      </c>
      <c r="BD19" s="45">
        <f>G19/(100-BE19)*100</f>
      </c>
      <c r="BE19" s="45" t="n">
        <v>0</v>
      </c>
      <c r="BF19" s="45">
        <f>19</f>
      </c>
      <c r="BH19" s="45">
        <f>F19*AO19</f>
      </c>
      <c r="BI19" s="45">
        <f>F19*AP19</f>
      </c>
      <c r="BJ19" s="45">
        <f>F19*G19</f>
      </c>
      <c r="BK19" s="45"/>
      <c r="BL19" s="45" t="n">
        <v>721</v>
      </c>
      <c r="BW19" s="45" t="n">
        <v>12</v>
      </c>
      <c r="BX19" s="14" t="s">
        <v>76</v>
      </c>
    </row>
    <row r="20">
      <c r="A20" s="9" t="s">
        <v>77</v>
      </c>
      <c r="B20" s="10" t="s">
        <v>80</v>
      </c>
      <c r="C20" s="14" t="s">
        <v>81</v>
      </c>
      <c r="D20" s="10"/>
      <c r="E20" s="10" t="s">
        <v>51</v>
      </c>
      <c r="F20" s="45" t="n">
        <v>15</v>
      </c>
      <c r="G20" s="45" t="n">
        <v>0</v>
      </c>
      <c r="H20" s="45">
        <f>F20*AO20</f>
      </c>
      <c r="I20" s="45">
        <f>F20*AP20</f>
      </c>
      <c r="J20" s="45">
        <f>F20*G20</f>
      </c>
      <c r="K20" s="46" t="s">
        <v>52</v>
      </c>
      <c r="Z20" s="45">
        <f>IF(AQ20="5",BJ20,0)</f>
      </c>
      <c r="AB20" s="45">
        <f>IF(AQ20="1",BH20,0)</f>
      </c>
      <c r="AC20" s="45">
        <f>IF(AQ20="1",BI20,0)</f>
      </c>
      <c r="AD20" s="45">
        <f>IF(AQ20="7",BH20,0)</f>
      </c>
      <c r="AE20" s="45">
        <f>IF(AQ20="7",BI20,0)</f>
      </c>
      <c r="AF20" s="45">
        <f>IF(AQ20="2",BH20,0)</f>
      </c>
      <c r="AG20" s="45">
        <f>IF(AQ20="2",BI20,0)</f>
      </c>
      <c r="AH20" s="45">
        <f>IF(AQ20="0",BJ20,0)</f>
      </c>
      <c r="AI20" s="28" t="s">
        <v>45</v>
      </c>
      <c r="AJ20" s="45">
        <f>IF(AN20=0,J20,0)</f>
      </c>
      <c r="AK20" s="45">
        <f>IF(AN20=12,J20,0)</f>
      </c>
      <c r="AL20" s="45">
        <f>IF(AN20=21,J20,0)</f>
      </c>
      <c r="AN20" s="45" t="n">
        <v>12</v>
      </c>
      <c r="AO20" s="45">
        <f>G20*0.691121076</f>
      </c>
      <c r="AP20" s="45">
        <f>G20*(1-0.691121076)</f>
      </c>
      <c r="AQ20" s="47" t="s">
        <v>77</v>
      </c>
      <c r="AV20" s="45">
        <f>AW20+AX20</f>
      </c>
      <c r="AW20" s="45">
        <f>F20*AO20</f>
      </c>
      <c r="AX20" s="45">
        <f>F20*AP20</f>
      </c>
      <c r="AY20" s="47" t="s">
        <v>78</v>
      </c>
      <c r="AZ20" s="47" t="s">
        <v>79</v>
      </c>
      <c r="BA20" s="28" t="s">
        <v>55</v>
      </c>
      <c r="BC20" s="45">
        <f>AW20+AX20</f>
      </c>
      <c r="BD20" s="45">
        <f>G20/(100-BE20)*100</f>
      </c>
      <c r="BE20" s="45" t="n">
        <v>0</v>
      </c>
      <c r="BF20" s="45">
        <f>20</f>
      </c>
      <c r="BH20" s="45">
        <f>F20*AO20</f>
      </c>
      <c r="BI20" s="45">
        <f>F20*AP20</f>
      </c>
      <c r="BJ20" s="45">
        <f>F20*G20</f>
      </c>
      <c r="BK20" s="45"/>
      <c r="BL20" s="45" t="n">
        <v>721</v>
      </c>
      <c r="BW20" s="45" t="n">
        <v>12</v>
      </c>
      <c r="BX20" s="14" t="s">
        <v>81</v>
      </c>
    </row>
    <row r="21">
      <c r="A21" s="9" t="s">
        <v>82</v>
      </c>
      <c r="B21" s="10" t="s">
        <v>83</v>
      </c>
      <c r="C21" s="14" t="s">
        <v>84</v>
      </c>
      <c r="D21" s="10"/>
      <c r="E21" s="10" t="s">
        <v>51</v>
      </c>
      <c r="F21" s="45" t="n">
        <v>2</v>
      </c>
      <c r="G21" s="45" t="n">
        <v>0</v>
      </c>
      <c r="H21" s="45">
        <f>F21*AO21</f>
      </c>
      <c r="I21" s="45">
        <f>F21*AP21</f>
      </c>
      <c r="J21" s="45">
        <f>F21*G21</f>
      </c>
      <c r="K21" s="46" t="s">
        <v>45</v>
      </c>
      <c r="Z21" s="45">
        <f>IF(AQ21="5",BJ21,0)</f>
      </c>
      <c r="AB21" s="45">
        <f>IF(AQ21="1",BH21,0)</f>
      </c>
      <c r="AC21" s="45">
        <f>IF(AQ21="1",BI21,0)</f>
      </c>
      <c r="AD21" s="45">
        <f>IF(AQ21="7",BH21,0)</f>
      </c>
      <c r="AE21" s="45">
        <f>IF(AQ21="7",BI21,0)</f>
      </c>
      <c r="AF21" s="45">
        <f>IF(AQ21="2",BH21,0)</f>
      </c>
      <c r="AG21" s="45">
        <f>IF(AQ21="2",BI21,0)</f>
      </c>
      <c r="AH21" s="45">
        <f>IF(AQ21="0",BJ21,0)</f>
      </c>
      <c r="AI21" s="28" t="s">
        <v>45</v>
      </c>
      <c r="AJ21" s="45">
        <f>IF(AN21=0,J21,0)</f>
      </c>
      <c r="AK21" s="45">
        <f>IF(AN21=12,J21,0)</f>
      </c>
      <c r="AL21" s="45">
        <f>IF(AN21=21,J21,0)</f>
      </c>
      <c r="AN21" s="45" t="n">
        <v>12</v>
      </c>
      <c r="AO21" s="45">
        <f>G21*0.813186813</f>
      </c>
      <c r="AP21" s="45">
        <f>G21*(1-0.813186813)</f>
      </c>
      <c r="AQ21" s="47" t="s">
        <v>77</v>
      </c>
      <c r="AV21" s="45">
        <f>AW21+AX21</f>
      </c>
      <c r="AW21" s="45">
        <f>F21*AO21</f>
      </c>
      <c r="AX21" s="45">
        <f>F21*AP21</f>
      </c>
      <c r="AY21" s="47" t="s">
        <v>78</v>
      </c>
      <c r="AZ21" s="47" t="s">
        <v>79</v>
      </c>
      <c r="BA21" s="28" t="s">
        <v>55</v>
      </c>
      <c r="BC21" s="45">
        <f>AW21+AX21</f>
      </c>
      <c r="BD21" s="45">
        <f>G21/(100-BE21)*100</f>
      </c>
      <c r="BE21" s="45" t="n">
        <v>0</v>
      </c>
      <c r="BF21" s="45">
        <f>21</f>
      </c>
      <c r="BH21" s="45">
        <f>F21*AO21</f>
      </c>
      <c r="BI21" s="45">
        <f>F21*AP21</f>
      </c>
      <c r="BJ21" s="45">
        <f>F21*G21</f>
      </c>
      <c r="BK21" s="45"/>
      <c r="BL21" s="45" t="n">
        <v>721</v>
      </c>
      <c r="BW21" s="45" t="n">
        <v>12</v>
      </c>
      <c r="BX21" s="14" t="s">
        <v>84</v>
      </c>
    </row>
    <row r="22">
      <c r="A22" s="9" t="s">
        <v>85</v>
      </c>
      <c r="B22" s="10" t="s">
        <v>86</v>
      </c>
      <c r="C22" s="14" t="s">
        <v>87</v>
      </c>
      <c r="D22" s="10"/>
      <c r="E22" s="10" t="s">
        <v>51</v>
      </c>
      <c r="F22" s="45" t="n">
        <v>15</v>
      </c>
      <c r="G22" s="45" t="n">
        <v>0</v>
      </c>
      <c r="H22" s="45">
        <f>F22*AO22</f>
      </c>
      <c r="I22" s="45">
        <f>F22*AP22</f>
      </c>
      <c r="J22" s="45">
        <f>F22*G22</f>
      </c>
      <c r="K22" s="46" t="s">
        <v>45</v>
      </c>
      <c r="Z22" s="45">
        <f>IF(AQ22="5",BJ22,0)</f>
      </c>
      <c r="AB22" s="45">
        <f>IF(AQ22="1",BH22,0)</f>
      </c>
      <c r="AC22" s="45">
        <f>IF(AQ22="1",BI22,0)</f>
      </c>
      <c r="AD22" s="45">
        <f>IF(AQ22="7",BH22,0)</f>
      </c>
      <c r="AE22" s="45">
        <f>IF(AQ22="7",BI22,0)</f>
      </c>
      <c r="AF22" s="45">
        <f>IF(AQ22="2",BH22,0)</f>
      </c>
      <c r="AG22" s="45">
        <f>IF(AQ22="2",BI22,0)</f>
      </c>
      <c r="AH22" s="45">
        <f>IF(AQ22="0",BJ22,0)</f>
      </c>
      <c r="AI22" s="28" t="s">
        <v>45</v>
      </c>
      <c r="AJ22" s="45">
        <f>IF(AN22=0,J22,0)</f>
      </c>
      <c r="AK22" s="45">
        <f>IF(AN22=12,J22,0)</f>
      </c>
      <c r="AL22" s="45">
        <f>IF(AN22=21,J22,0)</f>
      </c>
      <c r="AN22" s="45" t="n">
        <v>12</v>
      </c>
      <c r="AO22" s="45">
        <f>G22*0.653026316</f>
      </c>
      <c r="AP22" s="45">
        <f>G22*(1-0.653026316)</f>
      </c>
      <c r="AQ22" s="47" t="s">
        <v>77</v>
      </c>
      <c r="AV22" s="45">
        <f>AW22+AX22</f>
      </c>
      <c r="AW22" s="45">
        <f>F22*AO22</f>
      </c>
      <c r="AX22" s="45">
        <f>F22*AP22</f>
      </c>
      <c r="AY22" s="47" t="s">
        <v>78</v>
      </c>
      <c r="AZ22" s="47" t="s">
        <v>79</v>
      </c>
      <c r="BA22" s="28" t="s">
        <v>55</v>
      </c>
      <c r="BC22" s="45">
        <f>AW22+AX22</f>
      </c>
      <c r="BD22" s="45">
        <f>G22/(100-BE22)*100</f>
      </c>
      <c r="BE22" s="45" t="n">
        <v>0</v>
      </c>
      <c r="BF22" s="45">
        <f>22</f>
      </c>
      <c r="BH22" s="45">
        <f>F22*AO22</f>
      </c>
      <c r="BI22" s="45">
        <f>F22*AP22</f>
      </c>
      <c r="BJ22" s="45">
        <f>F22*G22</f>
      </c>
      <c r="BK22" s="45"/>
      <c r="BL22" s="45" t="n">
        <v>721</v>
      </c>
      <c r="BW22" s="45" t="n">
        <v>12</v>
      </c>
      <c r="BX22" s="14" t="s">
        <v>87</v>
      </c>
    </row>
    <row r="23">
      <c r="A23" s="9" t="s">
        <v>88</v>
      </c>
      <c r="B23" s="10" t="s">
        <v>89</v>
      </c>
      <c r="C23" s="14" t="s">
        <v>90</v>
      </c>
      <c r="D23" s="10"/>
      <c r="E23" s="10" t="s">
        <v>91</v>
      </c>
      <c r="F23" s="45" t="n">
        <v>1</v>
      </c>
      <c r="G23" s="45" t="n">
        <v>0</v>
      </c>
      <c r="H23" s="45">
        <f>F23*AO23</f>
      </c>
      <c r="I23" s="45">
        <f>F23*AP23</f>
      </c>
      <c r="J23" s="45">
        <f>F23*G23</f>
      </c>
      <c r="K23" s="46" t="s">
        <v>52</v>
      </c>
      <c r="Z23" s="45">
        <f>IF(AQ23="5",BJ23,0)</f>
      </c>
      <c r="AB23" s="45">
        <f>IF(AQ23="1",BH23,0)</f>
      </c>
      <c r="AC23" s="45">
        <f>IF(AQ23="1",BI23,0)</f>
      </c>
      <c r="AD23" s="45">
        <f>IF(AQ23="7",BH23,0)</f>
      </c>
      <c r="AE23" s="45">
        <f>IF(AQ23="7",BI23,0)</f>
      </c>
      <c r="AF23" s="45">
        <f>IF(AQ23="2",BH23,0)</f>
      </c>
      <c r="AG23" s="45">
        <f>IF(AQ23="2",BI23,0)</f>
      </c>
      <c r="AH23" s="45">
        <f>IF(AQ23="0",BJ23,0)</f>
      </c>
      <c r="AI23" s="28" t="s">
        <v>45</v>
      </c>
      <c r="AJ23" s="45">
        <f>IF(AN23=0,J23,0)</f>
      </c>
      <c r="AK23" s="45">
        <f>IF(AN23=12,J23,0)</f>
      </c>
      <c r="AL23" s="45">
        <f>IF(AN23=21,J23,0)</f>
      </c>
      <c r="AN23" s="45" t="n">
        <v>12</v>
      </c>
      <c r="AO23" s="45">
        <f>G23*0</f>
      </c>
      <c r="AP23" s="45">
        <f>G23*(1-0)</f>
      </c>
      <c r="AQ23" s="47" t="s">
        <v>77</v>
      </c>
      <c r="AV23" s="45">
        <f>AW23+AX23</f>
      </c>
      <c r="AW23" s="45">
        <f>F23*AO23</f>
      </c>
      <c r="AX23" s="45">
        <f>F23*AP23</f>
      </c>
      <c r="AY23" s="47" t="s">
        <v>78</v>
      </c>
      <c r="AZ23" s="47" t="s">
        <v>79</v>
      </c>
      <c r="BA23" s="28" t="s">
        <v>55</v>
      </c>
      <c r="BC23" s="45">
        <f>AW23+AX23</f>
      </c>
      <c r="BD23" s="45">
        <f>G23/(100-BE23)*100</f>
      </c>
      <c r="BE23" s="45" t="n">
        <v>0</v>
      </c>
      <c r="BF23" s="45">
        <f>23</f>
      </c>
      <c r="BH23" s="45">
        <f>F23*AO23</f>
      </c>
      <c r="BI23" s="45">
        <f>F23*AP23</f>
      </c>
      <c r="BJ23" s="45">
        <f>F23*G23</f>
      </c>
      <c r="BK23" s="45"/>
      <c r="BL23" s="45" t="n">
        <v>721</v>
      </c>
      <c r="BW23" s="45" t="n">
        <v>12</v>
      </c>
      <c r="BX23" s="14" t="s">
        <v>90</v>
      </c>
    </row>
    <row r="24">
      <c r="A24" s="9" t="s">
        <v>92</v>
      </c>
      <c r="B24" s="10" t="s">
        <v>93</v>
      </c>
      <c r="C24" s="14" t="s">
        <v>94</v>
      </c>
      <c r="D24" s="10"/>
      <c r="E24" s="10" t="s">
        <v>51</v>
      </c>
      <c r="F24" s="45" t="n">
        <v>17</v>
      </c>
      <c r="G24" s="45" t="n">
        <v>0</v>
      </c>
      <c r="H24" s="45">
        <f>F24*AO24</f>
      </c>
      <c r="I24" s="45">
        <f>F24*AP24</f>
      </c>
      <c r="J24" s="45">
        <f>F24*G24</f>
      </c>
      <c r="K24" s="46" t="s">
        <v>52</v>
      </c>
      <c r="Z24" s="45">
        <f>IF(AQ24="5",BJ24,0)</f>
      </c>
      <c r="AB24" s="45">
        <f>IF(AQ24="1",BH24,0)</f>
      </c>
      <c r="AC24" s="45">
        <f>IF(AQ24="1",BI24,0)</f>
      </c>
      <c r="AD24" s="45">
        <f>IF(AQ24="7",BH24,0)</f>
      </c>
      <c r="AE24" s="45">
        <f>IF(AQ24="7",BI24,0)</f>
      </c>
      <c r="AF24" s="45">
        <f>IF(AQ24="2",BH24,0)</f>
      </c>
      <c r="AG24" s="45">
        <f>IF(AQ24="2",BI24,0)</f>
      </c>
      <c r="AH24" s="45">
        <f>IF(AQ24="0",BJ24,0)</f>
      </c>
      <c r="AI24" s="28" t="s">
        <v>45</v>
      </c>
      <c r="AJ24" s="45">
        <f>IF(AN24=0,J24,0)</f>
      </c>
      <c r="AK24" s="45">
        <f>IF(AN24=12,J24,0)</f>
      </c>
      <c r="AL24" s="45">
        <f>IF(AN24=21,J24,0)</f>
      </c>
      <c r="AN24" s="45" t="n">
        <v>12</v>
      </c>
      <c r="AO24" s="45">
        <f>G24*0.029225352</f>
      </c>
      <c r="AP24" s="45">
        <f>G24*(1-0.029225352)</f>
      </c>
      <c r="AQ24" s="47" t="s">
        <v>77</v>
      </c>
      <c r="AV24" s="45">
        <f>AW24+AX24</f>
      </c>
      <c r="AW24" s="45">
        <f>F24*AO24</f>
      </c>
      <c r="AX24" s="45">
        <f>F24*AP24</f>
      </c>
      <c r="AY24" s="47" t="s">
        <v>78</v>
      </c>
      <c r="AZ24" s="47" t="s">
        <v>79</v>
      </c>
      <c r="BA24" s="28" t="s">
        <v>55</v>
      </c>
      <c r="BC24" s="45">
        <f>AW24+AX24</f>
      </c>
      <c r="BD24" s="45">
        <f>G24/(100-BE24)*100</f>
      </c>
      <c r="BE24" s="45" t="n">
        <v>0</v>
      </c>
      <c r="BF24" s="45">
        <f>24</f>
      </c>
      <c r="BH24" s="45">
        <f>F24*AO24</f>
      </c>
      <c r="BI24" s="45">
        <f>F24*AP24</f>
      </c>
      <c r="BJ24" s="45">
        <f>F24*G24</f>
      </c>
      <c r="BK24" s="45"/>
      <c r="BL24" s="45" t="n">
        <v>721</v>
      </c>
      <c r="BW24" s="45" t="n">
        <v>12</v>
      </c>
      <c r="BX24" s="14" t="s">
        <v>94</v>
      </c>
    </row>
    <row r="25" ht="24.75">
      <c r="A25" s="9" t="s">
        <v>95</v>
      </c>
      <c r="B25" s="10" t="s">
        <v>96</v>
      </c>
      <c r="C25" s="14" t="s">
        <v>97</v>
      </c>
      <c r="D25" s="10"/>
      <c r="E25" s="10" t="s">
        <v>91</v>
      </c>
      <c r="F25" s="45" t="n">
        <v>1</v>
      </c>
      <c r="G25" s="45" t="n">
        <v>0</v>
      </c>
      <c r="H25" s="45">
        <f>F25*AO25</f>
      </c>
      <c r="I25" s="45">
        <f>F25*AP25</f>
      </c>
      <c r="J25" s="45">
        <f>F25*G25</f>
      </c>
      <c r="K25" s="46" t="s">
        <v>45</v>
      </c>
      <c r="Z25" s="45">
        <f>IF(AQ25="5",BJ25,0)</f>
      </c>
      <c r="AB25" s="45">
        <f>IF(AQ25="1",BH25,0)</f>
      </c>
      <c r="AC25" s="45">
        <f>IF(AQ25="1",BI25,0)</f>
      </c>
      <c r="AD25" s="45">
        <f>IF(AQ25="7",BH25,0)</f>
      </c>
      <c r="AE25" s="45">
        <f>IF(AQ25="7",BI25,0)</f>
      </c>
      <c r="AF25" s="45">
        <f>IF(AQ25="2",BH25,0)</f>
      </c>
      <c r="AG25" s="45">
        <f>IF(AQ25="2",BI25,0)</f>
      </c>
      <c r="AH25" s="45">
        <f>IF(AQ25="0",BJ25,0)</f>
      </c>
      <c r="AI25" s="28" t="s">
        <v>45</v>
      </c>
      <c r="AJ25" s="45">
        <f>IF(AN25=0,J25,0)</f>
      </c>
      <c r="AK25" s="45">
        <f>IF(AN25=12,J25,0)</f>
      </c>
      <c r="AL25" s="45">
        <f>IF(AN25=21,J25,0)</f>
      </c>
      <c r="AN25" s="45" t="n">
        <v>12</v>
      </c>
      <c r="AO25" s="45">
        <f>G25*1</f>
      </c>
      <c r="AP25" s="45">
        <f>G25*(1-1)</f>
      </c>
      <c r="AQ25" s="47" t="s">
        <v>77</v>
      </c>
      <c r="AV25" s="45">
        <f>AW25+AX25</f>
      </c>
      <c r="AW25" s="45">
        <f>F25*AO25</f>
      </c>
      <c r="AX25" s="45">
        <f>F25*AP25</f>
      </c>
      <c r="AY25" s="47" t="s">
        <v>78</v>
      </c>
      <c r="AZ25" s="47" t="s">
        <v>79</v>
      </c>
      <c r="BA25" s="28" t="s">
        <v>55</v>
      </c>
      <c r="BC25" s="45">
        <f>AW25+AX25</f>
      </c>
      <c r="BD25" s="45">
        <f>G25/(100-BE25)*100</f>
      </c>
      <c r="BE25" s="45" t="n">
        <v>0</v>
      </c>
      <c r="BF25" s="45">
        <f>25</f>
      </c>
      <c r="BH25" s="45">
        <f>F25*AO25</f>
      </c>
      <c r="BI25" s="45">
        <f>F25*AP25</f>
      </c>
      <c r="BJ25" s="45">
        <f>F25*G25</f>
      </c>
      <c r="BK25" s="45"/>
      <c r="BL25" s="45" t="n">
        <v>721</v>
      </c>
      <c r="BW25" s="45" t="n">
        <v>12</v>
      </c>
      <c r="BX25" s="14" t="s">
        <v>97</v>
      </c>
    </row>
    <row r="26" ht="24.75">
      <c r="A26" s="9" t="s">
        <v>98</v>
      </c>
      <c r="B26" s="10" t="s">
        <v>99</v>
      </c>
      <c r="C26" s="14" t="s">
        <v>100</v>
      </c>
      <c r="D26" s="10"/>
      <c r="E26" s="10" t="s">
        <v>66</v>
      </c>
      <c r="F26" s="45" t="n">
        <v>1</v>
      </c>
      <c r="G26" s="45" t="n">
        <v>0</v>
      </c>
      <c r="H26" s="45">
        <f>F26*AO26</f>
      </c>
      <c r="I26" s="45">
        <f>F26*AP26</f>
      </c>
      <c r="J26" s="45">
        <f>F26*G26</f>
      </c>
      <c r="K26" s="46" t="s">
        <v>101</v>
      </c>
      <c r="Z26" s="45">
        <f>IF(AQ26="5",BJ26,0)</f>
      </c>
      <c r="AB26" s="45">
        <f>IF(AQ26="1",BH26,0)</f>
      </c>
      <c r="AC26" s="45">
        <f>IF(AQ26="1",BI26,0)</f>
      </c>
      <c r="AD26" s="45">
        <f>IF(AQ26="7",BH26,0)</f>
      </c>
      <c r="AE26" s="45">
        <f>IF(AQ26="7",BI26,0)</f>
      </c>
      <c r="AF26" s="45">
        <f>IF(AQ26="2",BH26,0)</f>
      </c>
      <c r="AG26" s="45">
        <f>IF(AQ26="2",BI26,0)</f>
      </c>
      <c r="AH26" s="45">
        <f>IF(AQ26="0",BJ26,0)</f>
      </c>
      <c r="AI26" s="28" t="s">
        <v>45</v>
      </c>
      <c r="AJ26" s="45">
        <f>IF(AN26=0,J26,0)</f>
      </c>
      <c r="AK26" s="45">
        <f>IF(AN26=12,J26,0)</f>
      </c>
      <c r="AL26" s="45">
        <f>IF(AN26=21,J26,0)</f>
      </c>
      <c r="AN26" s="45" t="n">
        <v>12</v>
      </c>
      <c r="AO26" s="45">
        <f>G26*0</f>
      </c>
      <c r="AP26" s="45">
        <f>G26*(1-0)</f>
      </c>
      <c r="AQ26" s="47" t="s">
        <v>77</v>
      </c>
      <c r="AV26" s="45">
        <f>AW26+AX26</f>
      </c>
      <c r="AW26" s="45">
        <f>F26*AO26</f>
      </c>
      <c r="AX26" s="45">
        <f>F26*AP26</f>
      </c>
      <c r="AY26" s="47" t="s">
        <v>78</v>
      </c>
      <c r="AZ26" s="47" t="s">
        <v>79</v>
      </c>
      <c r="BA26" s="28" t="s">
        <v>55</v>
      </c>
      <c r="BC26" s="45">
        <f>AW26+AX26</f>
      </c>
      <c r="BD26" s="45">
        <f>G26/(100-BE26)*100</f>
      </c>
      <c r="BE26" s="45" t="n">
        <v>0</v>
      </c>
      <c r="BF26" s="45">
        <f>26</f>
      </c>
      <c r="BH26" s="45">
        <f>F26*AO26</f>
      </c>
      <c r="BI26" s="45">
        <f>F26*AP26</f>
      </c>
      <c r="BJ26" s="45">
        <f>F26*G26</f>
      </c>
      <c r="BK26" s="45"/>
      <c r="BL26" s="45" t="n">
        <v>721</v>
      </c>
      <c r="BW26" s="45" t="n">
        <v>12</v>
      </c>
      <c r="BX26" s="14" t="s">
        <v>100</v>
      </c>
    </row>
    <row r="27">
      <c r="A27" s="9" t="s">
        <v>102</v>
      </c>
      <c r="B27" s="10" t="s">
        <v>103</v>
      </c>
      <c r="C27" s="14" t="s">
        <v>104</v>
      </c>
      <c r="D27" s="10"/>
      <c r="E27" s="10" t="s">
        <v>71</v>
      </c>
      <c r="F27" s="45" t="n">
        <v>0.0153</v>
      </c>
      <c r="G27" s="45" t="n">
        <v>0</v>
      </c>
      <c r="H27" s="45">
        <f>F27*AO27</f>
      </c>
      <c r="I27" s="45">
        <f>F27*AP27</f>
      </c>
      <c r="J27" s="45">
        <f>F27*G27</f>
      </c>
      <c r="K27" s="46" t="s">
        <v>52</v>
      </c>
      <c r="Z27" s="45">
        <f>IF(AQ27="5",BJ27,0)</f>
      </c>
      <c r="AB27" s="45">
        <f>IF(AQ27="1",BH27,0)</f>
      </c>
      <c r="AC27" s="45">
        <f>IF(AQ27="1",BI27,0)</f>
      </c>
      <c r="AD27" s="45">
        <f>IF(AQ27="7",BH27,0)</f>
      </c>
      <c r="AE27" s="45">
        <f>IF(AQ27="7",BI27,0)</f>
      </c>
      <c r="AF27" s="45">
        <f>IF(AQ27="2",BH27,0)</f>
      </c>
      <c r="AG27" s="45">
        <f>IF(AQ27="2",BI27,0)</f>
      </c>
      <c r="AH27" s="45">
        <f>IF(AQ27="0",BJ27,0)</f>
      </c>
      <c r="AI27" s="28" t="s">
        <v>45</v>
      </c>
      <c r="AJ27" s="45">
        <f>IF(AN27=0,J27,0)</f>
      </c>
      <c r="AK27" s="45">
        <f>IF(AN27=12,J27,0)</f>
      </c>
      <c r="AL27" s="45">
        <f>IF(AN27=21,J27,0)</f>
      </c>
      <c r="AN27" s="45" t="n">
        <v>12</v>
      </c>
      <c r="AO27" s="45">
        <f>G27*0</f>
      </c>
      <c r="AP27" s="45">
        <f>G27*(1-0)</f>
      </c>
      <c r="AQ27" s="47" t="s">
        <v>68</v>
      </c>
      <c r="AV27" s="45">
        <f>AW27+AX27</f>
      </c>
      <c r="AW27" s="45">
        <f>F27*AO27</f>
      </c>
      <c r="AX27" s="45">
        <f>F27*AP27</f>
      </c>
      <c r="AY27" s="47" t="s">
        <v>78</v>
      </c>
      <c r="AZ27" s="47" t="s">
        <v>79</v>
      </c>
      <c r="BA27" s="28" t="s">
        <v>55</v>
      </c>
      <c r="BC27" s="45">
        <f>AW27+AX27</f>
      </c>
      <c r="BD27" s="45">
        <f>G27/(100-BE27)*100</f>
      </c>
      <c r="BE27" s="45" t="n">
        <v>0</v>
      </c>
      <c r="BF27" s="45">
        <f>27</f>
      </c>
      <c r="BH27" s="45">
        <f>F27*AO27</f>
      </c>
      <c r="BI27" s="45">
        <f>F27*AP27</f>
      </c>
      <c r="BJ27" s="45">
        <f>F27*G27</f>
      </c>
      <c r="BK27" s="45"/>
      <c r="BL27" s="45" t="n">
        <v>721</v>
      </c>
      <c r="BW27" s="45" t="n">
        <v>12</v>
      </c>
      <c r="BX27" s="14" t="s">
        <v>104</v>
      </c>
    </row>
    <row r="28">
      <c r="A28" s="48" t="s">
        <v>45</v>
      </c>
      <c r="B28" s="49" t="s">
        <v>105</v>
      </c>
      <c r="C28" s="50" t="s">
        <v>106</v>
      </c>
      <c r="D28" s="49"/>
      <c r="E28" s="51" t="s">
        <v>2</v>
      </c>
      <c r="F28" s="51" t="s">
        <v>2</v>
      </c>
      <c r="G28" s="51" t="s">
        <v>2</v>
      </c>
      <c r="H28" s="2">
        <f>SUM(H29:H39)</f>
      </c>
      <c r="I28" s="2">
        <f>SUM(I29:I39)</f>
      </c>
      <c r="J28" s="2">
        <f>SUM(J29:J39)</f>
      </c>
      <c r="K28" s="52" t="s">
        <v>45</v>
      </c>
      <c r="AI28" s="28" t="s">
        <v>45</v>
      </c>
      <c r="AS28" s="2">
        <f>SUM(AJ29:AJ39)</f>
      </c>
      <c r="AT28" s="2">
        <f>SUM(AK29:AK39)</f>
      </c>
      <c r="AU28" s="2">
        <f>SUM(AL29:AL39)</f>
      </c>
    </row>
    <row r="29">
      <c r="A29" s="9" t="s">
        <v>107</v>
      </c>
      <c r="B29" s="10" t="s">
        <v>108</v>
      </c>
      <c r="C29" s="14" t="s">
        <v>109</v>
      </c>
      <c r="D29" s="10"/>
      <c r="E29" s="10" t="s">
        <v>51</v>
      </c>
      <c r="F29" s="45" t="n">
        <v>36</v>
      </c>
      <c r="G29" s="45" t="n">
        <v>0</v>
      </c>
      <c r="H29" s="45">
        <f>F29*AO29</f>
      </c>
      <c r="I29" s="45">
        <f>F29*AP29</f>
      </c>
      <c r="J29" s="45">
        <f>F29*G29</f>
      </c>
      <c r="K29" s="46" t="s">
        <v>52</v>
      </c>
      <c r="Z29" s="45">
        <f>IF(AQ29="5",BJ29,0)</f>
      </c>
      <c r="AB29" s="45">
        <f>IF(AQ29="1",BH29,0)</f>
      </c>
      <c r="AC29" s="45">
        <f>IF(AQ29="1",BI29,0)</f>
      </c>
      <c r="AD29" s="45">
        <f>IF(AQ29="7",BH29,0)</f>
      </c>
      <c r="AE29" s="45">
        <f>IF(AQ29="7",BI29,0)</f>
      </c>
      <c r="AF29" s="45">
        <f>IF(AQ29="2",BH29,0)</f>
      </c>
      <c r="AG29" s="45">
        <f>IF(AQ29="2",BI29,0)</f>
      </c>
      <c r="AH29" s="45">
        <f>IF(AQ29="0",BJ29,0)</f>
      </c>
      <c r="AI29" s="28" t="s">
        <v>45</v>
      </c>
      <c r="AJ29" s="45">
        <f>IF(AN29=0,J29,0)</f>
      </c>
      <c r="AK29" s="45">
        <f>IF(AN29=12,J29,0)</f>
      </c>
      <c r="AL29" s="45">
        <f>IF(AN29=21,J29,0)</f>
      </c>
      <c r="AN29" s="45" t="n">
        <v>12</v>
      </c>
      <c r="AO29" s="45">
        <f>G29*0.324039216</f>
      </c>
      <c r="AP29" s="45">
        <f>G29*(1-0.324039216)</f>
      </c>
      <c r="AQ29" s="47" t="s">
        <v>77</v>
      </c>
      <c r="AV29" s="45">
        <f>AW29+AX29</f>
      </c>
      <c r="AW29" s="45">
        <f>F29*AO29</f>
      </c>
      <c r="AX29" s="45">
        <f>F29*AP29</f>
      </c>
      <c r="AY29" s="47" t="s">
        <v>110</v>
      </c>
      <c r="AZ29" s="47" t="s">
        <v>79</v>
      </c>
      <c r="BA29" s="28" t="s">
        <v>55</v>
      </c>
      <c r="BC29" s="45">
        <f>AW29+AX29</f>
      </c>
      <c r="BD29" s="45">
        <f>G29/(100-BE29)*100</f>
      </c>
      <c r="BE29" s="45" t="n">
        <v>0</v>
      </c>
      <c r="BF29" s="45">
        <f>29</f>
      </c>
      <c r="BH29" s="45">
        <f>F29*AO29</f>
      </c>
      <c r="BI29" s="45">
        <f>F29*AP29</f>
      </c>
      <c r="BJ29" s="45">
        <f>F29*G29</f>
      </c>
      <c r="BK29" s="45"/>
      <c r="BL29" s="45" t="n">
        <v>722</v>
      </c>
      <c r="BW29" s="45" t="n">
        <v>12</v>
      </c>
      <c r="BX29" s="14" t="s">
        <v>109</v>
      </c>
    </row>
    <row r="30">
      <c r="A30" s="9" t="s">
        <v>111</v>
      </c>
      <c r="B30" s="10" t="s">
        <v>112</v>
      </c>
      <c r="C30" s="14" t="s">
        <v>113</v>
      </c>
      <c r="D30" s="10"/>
      <c r="E30" s="10" t="s">
        <v>51</v>
      </c>
      <c r="F30" s="45" t="n">
        <v>36</v>
      </c>
      <c r="G30" s="45" t="n">
        <v>0</v>
      </c>
      <c r="H30" s="45">
        <f>F30*AO30</f>
      </c>
      <c r="I30" s="45">
        <f>F30*AP30</f>
      </c>
      <c r="J30" s="45">
        <f>F30*G30</f>
      </c>
      <c r="K30" s="46" t="s">
        <v>52</v>
      </c>
      <c r="Z30" s="45">
        <f>IF(AQ30="5",BJ30,0)</f>
      </c>
      <c r="AB30" s="45">
        <f>IF(AQ30="1",BH30,0)</f>
      </c>
      <c r="AC30" s="45">
        <f>IF(AQ30="1",BI30,0)</f>
      </c>
      <c r="AD30" s="45">
        <f>IF(AQ30="7",BH30,0)</f>
      </c>
      <c r="AE30" s="45">
        <f>IF(AQ30="7",BI30,0)</f>
      </c>
      <c r="AF30" s="45">
        <f>IF(AQ30="2",BH30,0)</f>
      </c>
      <c r="AG30" s="45">
        <f>IF(AQ30="2",BI30,0)</f>
      </c>
      <c r="AH30" s="45">
        <f>IF(AQ30="0",BJ30,0)</f>
      </c>
      <c r="AI30" s="28" t="s">
        <v>45</v>
      </c>
      <c r="AJ30" s="45">
        <f>IF(AN30=0,J30,0)</f>
      </c>
      <c r="AK30" s="45">
        <f>IF(AN30=12,J30,0)</f>
      </c>
      <c r="AL30" s="45">
        <f>IF(AN30=21,J30,0)</f>
      </c>
      <c r="AN30" s="45" t="n">
        <v>12</v>
      </c>
      <c r="AO30" s="45">
        <f>G30*0.287626817</f>
      </c>
      <c r="AP30" s="45">
        <f>G30*(1-0.287626817)</f>
      </c>
      <c r="AQ30" s="47" t="s">
        <v>77</v>
      </c>
      <c r="AV30" s="45">
        <f>AW30+AX30</f>
      </c>
      <c r="AW30" s="45">
        <f>F30*AO30</f>
      </c>
      <c r="AX30" s="45">
        <f>F30*AP30</f>
      </c>
      <c r="AY30" s="47" t="s">
        <v>110</v>
      </c>
      <c r="AZ30" s="47" t="s">
        <v>79</v>
      </c>
      <c r="BA30" s="28" t="s">
        <v>55</v>
      </c>
      <c r="BC30" s="45">
        <f>AW30+AX30</f>
      </c>
      <c r="BD30" s="45">
        <f>G30/(100-BE30)*100</f>
      </c>
      <c r="BE30" s="45" t="n">
        <v>0</v>
      </c>
      <c r="BF30" s="45">
        <f>30</f>
      </c>
      <c r="BH30" s="45">
        <f>F30*AO30</f>
      </c>
      <c r="BI30" s="45">
        <f>F30*AP30</f>
      </c>
      <c r="BJ30" s="45">
        <f>F30*G30</f>
      </c>
      <c r="BK30" s="45"/>
      <c r="BL30" s="45" t="n">
        <v>722</v>
      </c>
      <c r="BW30" s="45" t="n">
        <v>12</v>
      </c>
      <c r="BX30" s="14" t="s">
        <v>113</v>
      </c>
    </row>
    <row r="31">
      <c r="A31" s="9" t="s">
        <v>114</v>
      </c>
      <c r="B31" s="10" t="s">
        <v>115</v>
      </c>
      <c r="C31" s="14" t="s">
        <v>116</v>
      </c>
      <c r="D31" s="10"/>
      <c r="E31" s="10" t="s">
        <v>51</v>
      </c>
      <c r="F31" s="45" t="n">
        <v>36</v>
      </c>
      <c r="G31" s="45" t="n">
        <v>0</v>
      </c>
      <c r="H31" s="45">
        <f>F31*AO31</f>
      </c>
      <c r="I31" s="45">
        <f>F31*AP31</f>
      </c>
      <c r="J31" s="45">
        <f>F31*G31</f>
      </c>
      <c r="K31" s="46" t="s">
        <v>52</v>
      </c>
      <c r="Z31" s="45">
        <f>IF(AQ31="5",BJ31,0)</f>
      </c>
      <c r="AB31" s="45">
        <f>IF(AQ31="1",BH31,0)</f>
      </c>
      <c r="AC31" s="45">
        <f>IF(AQ31="1",BI31,0)</f>
      </c>
      <c r="AD31" s="45">
        <f>IF(AQ31="7",BH31,0)</f>
      </c>
      <c r="AE31" s="45">
        <f>IF(AQ31="7",BI31,0)</f>
      </c>
      <c r="AF31" s="45">
        <f>IF(AQ31="2",BH31,0)</f>
      </c>
      <c r="AG31" s="45">
        <f>IF(AQ31="2",BI31,0)</f>
      </c>
      <c r="AH31" s="45">
        <f>IF(AQ31="0",BJ31,0)</f>
      </c>
      <c r="AI31" s="28" t="s">
        <v>45</v>
      </c>
      <c r="AJ31" s="45">
        <f>IF(AN31=0,J31,0)</f>
      </c>
      <c r="AK31" s="45">
        <f>IF(AN31=12,J31,0)</f>
      </c>
      <c r="AL31" s="45">
        <f>IF(AN31=21,J31,0)</f>
      </c>
      <c r="AN31" s="45" t="n">
        <v>12</v>
      </c>
      <c r="AO31" s="45">
        <f>G31*0.018553459</f>
      </c>
      <c r="AP31" s="45">
        <f>G31*(1-0.018553459)</f>
      </c>
      <c r="AQ31" s="47" t="s">
        <v>77</v>
      </c>
      <c r="AV31" s="45">
        <f>AW31+AX31</f>
      </c>
      <c r="AW31" s="45">
        <f>F31*AO31</f>
      </c>
      <c r="AX31" s="45">
        <f>F31*AP31</f>
      </c>
      <c r="AY31" s="47" t="s">
        <v>110</v>
      </c>
      <c r="AZ31" s="47" t="s">
        <v>79</v>
      </c>
      <c r="BA31" s="28" t="s">
        <v>55</v>
      </c>
      <c r="BC31" s="45">
        <f>AW31+AX31</f>
      </c>
      <c r="BD31" s="45">
        <f>G31/(100-BE31)*100</f>
      </c>
      <c r="BE31" s="45" t="n">
        <v>0</v>
      </c>
      <c r="BF31" s="45">
        <f>31</f>
      </c>
      <c r="BH31" s="45">
        <f>F31*AO31</f>
      </c>
      <c r="BI31" s="45">
        <f>F31*AP31</f>
      </c>
      <c r="BJ31" s="45">
        <f>F31*G31</f>
      </c>
      <c r="BK31" s="45"/>
      <c r="BL31" s="45" t="n">
        <v>722</v>
      </c>
      <c r="BW31" s="45" t="n">
        <v>12</v>
      </c>
      <c r="BX31" s="14" t="s">
        <v>116</v>
      </c>
    </row>
    <row r="32">
      <c r="A32" s="9" t="s">
        <v>117</v>
      </c>
      <c r="B32" s="10" t="s">
        <v>118</v>
      </c>
      <c r="C32" s="14" t="s">
        <v>119</v>
      </c>
      <c r="D32" s="10"/>
      <c r="E32" s="10" t="s">
        <v>51</v>
      </c>
      <c r="F32" s="45" t="n">
        <v>36</v>
      </c>
      <c r="G32" s="45" t="n">
        <v>0</v>
      </c>
      <c r="H32" s="45">
        <f>F32*AO32</f>
      </c>
      <c r="I32" s="45">
        <f>F32*AP32</f>
      </c>
      <c r="J32" s="45">
        <f>F32*G32</f>
      </c>
      <c r="K32" s="46" t="s">
        <v>52</v>
      </c>
      <c r="Z32" s="45">
        <f>IF(AQ32="5",BJ32,0)</f>
      </c>
      <c r="AB32" s="45">
        <f>IF(AQ32="1",BH32,0)</f>
      </c>
      <c r="AC32" s="45">
        <f>IF(AQ32="1",BI32,0)</f>
      </c>
      <c r="AD32" s="45">
        <f>IF(AQ32="7",BH32,0)</f>
      </c>
      <c r="AE32" s="45">
        <f>IF(AQ32="7",BI32,0)</f>
      </c>
      <c r="AF32" s="45">
        <f>IF(AQ32="2",BH32,0)</f>
      </c>
      <c r="AG32" s="45">
        <f>IF(AQ32="2",BI32,0)</f>
      </c>
      <c r="AH32" s="45">
        <f>IF(AQ32="0",BJ32,0)</f>
      </c>
      <c r="AI32" s="28" t="s">
        <v>45</v>
      </c>
      <c r="AJ32" s="45">
        <f>IF(AN32=0,J32,0)</f>
      </c>
      <c r="AK32" s="45">
        <f>IF(AN32=12,J32,0)</f>
      </c>
      <c r="AL32" s="45">
        <f>IF(AN32=21,J32,0)</f>
      </c>
      <c r="AN32" s="45" t="n">
        <v>12</v>
      </c>
      <c r="AO32" s="45">
        <f>G32*0.05464191</f>
      </c>
      <c r="AP32" s="45">
        <f>G32*(1-0.05464191)</f>
      </c>
      <c r="AQ32" s="47" t="s">
        <v>77</v>
      </c>
      <c r="AV32" s="45">
        <f>AW32+AX32</f>
      </c>
      <c r="AW32" s="45">
        <f>F32*AO32</f>
      </c>
      <c r="AX32" s="45">
        <f>F32*AP32</f>
      </c>
      <c r="AY32" s="47" t="s">
        <v>110</v>
      </c>
      <c r="AZ32" s="47" t="s">
        <v>79</v>
      </c>
      <c r="BA32" s="28" t="s">
        <v>55</v>
      </c>
      <c r="BC32" s="45">
        <f>AW32+AX32</f>
      </c>
      <c r="BD32" s="45">
        <f>G32/(100-BE32)*100</f>
      </c>
      <c r="BE32" s="45" t="n">
        <v>0</v>
      </c>
      <c r="BF32" s="45">
        <f>32</f>
      </c>
      <c r="BH32" s="45">
        <f>F32*AO32</f>
      </c>
      <c r="BI32" s="45">
        <f>F32*AP32</f>
      </c>
      <c r="BJ32" s="45">
        <f>F32*G32</f>
      </c>
      <c r="BK32" s="45"/>
      <c r="BL32" s="45" t="n">
        <v>722</v>
      </c>
      <c r="BW32" s="45" t="n">
        <v>12</v>
      </c>
      <c r="BX32" s="14" t="s">
        <v>119</v>
      </c>
    </row>
    <row r="33">
      <c r="A33" s="9" t="s">
        <v>120</v>
      </c>
      <c r="B33" s="10" t="s">
        <v>121</v>
      </c>
      <c r="C33" s="14" t="s">
        <v>122</v>
      </c>
      <c r="D33" s="10"/>
      <c r="E33" s="10" t="s">
        <v>91</v>
      </c>
      <c r="F33" s="45" t="n">
        <v>2</v>
      </c>
      <c r="G33" s="45" t="n">
        <v>0</v>
      </c>
      <c r="H33" s="45">
        <f>F33*AO33</f>
      </c>
      <c r="I33" s="45">
        <f>F33*AP33</f>
      </c>
      <c r="J33" s="45">
        <f>F33*G33</f>
      </c>
      <c r="K33" s="46" t="s">
        <v>101</v>
      </c>
      <c r="Z33" s="45">
        <f>IF(AQ33="5",BJ33,0)</f>
      </c>
      <c r="AB33" s="45">
        <f>IF(AQ33="1",BH33,0)</f>
      </c>
      <c r="AC33" s="45">
        <f>IF(AQ33="1",BI33,0)</f>
      </c>
      <c r="AD33" s="45">
        <f>IF(AQ33="7",BH33,0)</f>
      </c>
      <c r="AE33" s="45">
        <f>IF(AQ33="7",BI33,0)</f>
      </c>
      <c r="AF33" s="45">
        <f>IF(AQ33="2",BH33,0)</f>
      </c>
      <c r="AG33" s="45">
        <f>IF(AQ33="2",BI33,0)</f>
      </c>
      <c r="AH33" s="45">
        <f>IF(AQ33="0",BJ33,0)</f>
      </c>
      <c r="AI33" s="28" t="s">
        <v>45</v>
      </c>
      <c r="AJ33" s="45">
        <f>IF(AN33=0,J33,0)</f>
      </c>
      <c r="AK33" s="45">
        <f>IF(AN33=12,J33,0)</f>
      </c>
      <c r="AL33" s="45">
        <f>IF(AN33=21,J33,0)</f>
      </c>
      <c r="AN33" s="45" t="n">
        <v>12</v>
      </c>
      <c r="AO33" s="45">
        <f>G33*0</f>
      </c>
      <c r="AP33" s="45">
        <f>G33*(1-0)</f>
      </c>
      <c r="AQ33" s="47" t="s">
        <v>77</v>
      </c>
      <c r="AV33" s="45">
        <f>AW33+AX33</f>
      </c>
      <c r="AW33" s="45">
        <f>F33*AO33</f>
      </c>
      <c r="AX33" s="45">
        <f>F33*AP33</f>
      </c>
      <c r="AY33" s="47" t="s">
        <v>110</v>
      </c>
      <c r="AZ33" s="47" t="s">
        <v>79</v>
      </c>
      <c r="BA33" s="28" t="s">
        <v>55</v>
      </c>
      <c r="BC33" s="45">
        <f>AW33+AX33</f>
      </c>
      <c r="BD33" s="45">
        <f>G33/(100-BE33)*100</f>
      </c>
      <c r="BE33" s="45" t="n">
        <v>0</v>
      </c>
      <c r="BF33" s="45">
        <f>33</f>
      </c>
      <c r="BH33" s="45">
        <f>F33*AO33</f>
      </c>
      <c r="BI33" s="45">
        <f>F33*AP33</f>
      </c>
      <c r="BJ33" s="45">
        <f>F33*G33</f>
      </c>
      <c r="BK33" s="45"/>
      <c r="BL33" s="45" t="n">
        <v>722</v>
      </c>
      <c r="BW33" s="45" t="n">
        <v>12</v>
      </c>
      <c r="BX33" s="14" t="s">
        <v>122</v>
      </c>
    </row>
    <row r="34">
      <c r="A34" s="9" t="s">
        <v>123</v>
      </c>
      <c r="B34" s="10" t="s">
        <v>124</v>
      </c>
      <c r="C34" s="14" t="s">
        <v>125</v>
      </c>
      <c r="D34" s="10"/>
      <c r="E34" s="10" t="s">
        <v>91</v>
      </c>
      <c r="F34" s="45" t="n">
        <v>2</v>
      </c>
      <c r="G34" s="45" t="n">
        <v>0</v>
      </c>
      <c r="H34" s="45">
        <f>F34*AO34</f>
      </c>
      <c r="I34" s="45">
        <f>F34*AP34</f>
      </c>
      <c r="J34" s="45">
        <f>F34*G34</f>
      </c>
      <c r="K34" s="46" t="s">
        <v>52</v>
      </c>
      <c r="Z34" s="45">
        <f>IF(AQ34="5",BJ34,0)</f>
      </c>
      <c r="AB34" s="45">
        <f>IF(AQ34="1",BH34,0)</f>
      </c>
      <c r="AC34" s="45">
        <f>IF(AQ34="1",BI34,0)</f>
      </c>
      <c r="AD34" s="45">
        <f>IF(AQ34="7",BH34,0)</f>
      </c>
      <c r="AE34" s="45">
        <f>IF(AQ34="7",BI34,0)</f>
      </c>
      <c r="AF34" s="45">
        <f>IF(AQ34="2",BH34,0)</f>
      </c>
      <c r="AG34" s="45">
        <f>IF(AQ34="2",BI34,0)</f>
      </c>
      <c r="AH34" s="45">
        <f>IF(AQ34="0",BJ34,0)</f>
      </c>
      <c r="AI34" s="28" t="s">
        <v>45</v>
      </c>
      <c r="AJ34" s="45">
        <f>IF(AN34=0,J34,0)</f>
      </c>
      <c r="AK34" s="45">
        <f>IF(AN34=12,J34,0)</f>
      </c>
      <c r="AL34" s="45">
        <f>IF(AN34=21,J34,0)</f>
      </c>
      <c r="AN34" s="45" t="n">
        <v>12</v>
      </c>
      <c r="AO34" s="45">
        <f>G34*0.732429379</f>
      </c>
      <c r="AP34" s="45">
        <f>G34*(1-0.732429379)</f>
      </c>
      <c r="AQ34" s="47" t="s">
        <v>77</v>
      </c>
      <c r="AV34" s="45">
        <f>AW34+AX34</f>
      </c>
      <c r="AW34" s="45">
        <f>F34*AO34</f>
      </c>
      <c r="AX34" s="45">
        <f>F34*AP34</f>
      </c>
      <c r="AY34" s="47" t="s">
        <v>110</v>
      </c>
      <c r="AZ34" s="47" t="s">
        <v>79</v>
      </c>
      <c r="BA34" s="28" t="s">
        <v>55</v>
      </c>
      <c r="BC34" s="45">
        <f>AW34+AX34</f>
      </c>
      <c r="BD34" s="45">
        <f>G34/(100-BE34)*100</f>
      </c>
      <c r="BE34" s="45" t="n">
        <v>0</v>
      </c>
      <c r="BF34" s="45">
        <f>34</f>
      </c>
      <c r="BH34" s="45">
        <f>F34*AO34</f>
      </c>
      <c r="BI34" s="45">
        <f>F34*AP34</f>
      </c>
      <c r="BJ34" s="45">
        <f>F34*G34</f>
      </c>
      <c r="BK34" s="45"/>
      <c r="BL34" s="45" t="n">
        <v>722</v>
      </c>
      <c r="BW34" s="45" t="n">
        <v>12</v>
      </c>
      <c r="BX34" s="14" t="s">
        <v>125</v>
      </c>
    </row>
    <row r="35">
      <c r="A35" s="9" t="s">
        <v>126</v>
      </c>
      <c r="B35" s="10" t="s">
        <v>127</v>
      </c>
      <c r="C35" s="14" t="s">
        <v>128</v>
      </c>
      <c r="D35" s="10"/>
      <c r="E35" s="10" t="s">
        <v>91</v>
      </c>
      <c r="F35" s="45" t="n">
        <v>2</v>
      </c>
      <c r="G35" s="45" t="n">
        <v>0</v>
      </c>
      <c r="H35" s="45">
        <f>F35*AO35</f>
      </c>
      <c r="I35" s="45">
        <f>F35*AP35</f>
      </c>
      <c r="J35" s="45">
        <f>F35*G35</f>
      </c>
      <c r="K35" s="46" t="s">
        <v>52</v>
      </c>
      <c r="Z35" s="45">
        <f>IF(AQ35="5",BJ35,0)</f>
      </c>
      <c r="AB35" s="45">
        <f>IF(AQ35="1",BH35,0)</f>
      </c>
      <c r="AC35" s="45">
        <f>IF(AQ35="1",BI35,0)</f>
      </c>
      <c r="AD35" s="45">
        <f>IF(AQ35="7",BH35,0)</f>
      </c>
      <c r="AE35" s="45">
        <f>IF(AQ35="7",BI35,0)</f>
      </c>
      <c r="AF35" s="45">
        <f>IF(AQ35="2",BH35,0)</f>
      </c>
      <c r="AG35" s="45">
        <f>IF(AQ35="2",BI35,0)</f>
      </c>
      <c r="AH35" s="45">
        <f>IF(AQ35="0",BJ35,0)</f>
      </c>
      <c r="AI35" s="28" t="s">
        <v>45</v>
      </c>
      <c r="AJ35" s="45">
        <f>IF(AN35=0,J35,0)</f>
      </c>
      <c r="AK35" s="45">
        <f>IF(AN35=12,J35,0)</f>
      </c>
      <c r="AL35" s="45">
        <f>IF(AN35=21,J35,0)</f>
      </c>
      <c r="AN35" s="45" t="n">
        <v>12</v>
      </c>
      <c r="AO35" s="45">
        <f>G35*0.688672462</f>
      </c>
      <c r="AP35" s="45">
        <f>G35*(1-0.688672462)</f>
      </c>
      <c r="AQ35" s="47" t="s">
        <v>77</v>
      </c>
      <c r="AV35" s="45">
        <f>AW35+AX35</f>
      </c>
      <c r="AW35" s="45">
        <f>F35*AO35</f>
      </c>
      <c r="AX35" s="45">
        <f>F35*AP35</f>
      </c>
      <c r="AY35" s="47" t="s">
        <v>110</v>
      </c>
      <c r="AZ35" s="47" t="s">
        <v>79</v>
      </c>
      <c r="BA35" s="28" t="s">
        <v>55</v>
      </c>
      <c r="BC35" s="45">
        <f>AW35+AX35</f>
      </c>
      <c r="BD35" s="45">
        <f>G35/(100-BE35)*100</f>
      </c>
      <c r="BE35" s="45" t="n">
        <v>0</v>
      </c>
      <c r="BF35" s="45">
        <f>35</f>
      </c>
      <c r="BH35" s="45">
        <f>F35*AO35</f>
      </c>
      <c r="BI35" s="45">
        <f>F35*AP35</f>
      </c>
      <c r="BJ35" s="45">
        <f>F35*G35</f>
      </c>
      <c r="BK35" s="45"/>
      <c r="BL35" s="45" t="n">
        <v>722</v>
      </c>
      <c r="BW35" s="45" t="n">
        <v>12</v>
      </c>
      <c r="BX35" s="14" t="s">
        <v>128</v>
      </c>
    </row>
    <row r="36">
      <c r="A36" s="9" t="s">
        <v>129</v>
      </c>
      <c r="B36" s="10" t="s">
        <v>130</v>
      </c>
      <c r="C36" s="14" t="s">
        <v>131</v>
      </c>
      <c r="D36" s="10"/>
      <c r="E36" s="10" t="s">
        <v>91</v>
      </c>
      <c r="F36" s="45" t="n">
        <v>2</v>
      </c>
      <c r="G36" s="45" t="n">
        <v>0</v>
      </c>
      <c r="H36" s="45">
        <f>F36*AO36</f>
      </c>
      <c r="I36" s="45">
        <f>F36*AP36</f>
      </c>
      <c r="J36" s="45">
        <f>F36*G36</f>
      </c>
      <c r="K36" s="46" t="s">
        <v>52</v>
      </c>
      <c r="Z36" s="45">
        <f>IF(AQ36="5",BJ36,0)</f>
      </c>
      <c r="AB36" s="45">
        <f>IF(AQ36="1",BH36,0)</f>
      </c>
      <c r="AC36" s="45">
        <f>IF(AQ36="1",BI36,0)</f>
      </c>
      <c r="AD36" s="45">
        <f>IF(AQ36="7",BH36,0)</f>
      </c>
      <c r="AE36" s="45">
        <f>IF(AQ36="7",BI36,0)</f>
      </c>
      <c r="AF36" s="45">
        <f>IF(AQ36="2",BH36,0)</f>
      </c>
      <c r="AG36" s="45">
        <f>IF(AQ36="2",BI36,0)</f>
      </c>
      <c r="AH36" s="45">
        <f>IF(AQ36="0",BJ36,0)</f>
      </c>
      <c r="AI36" s="28" t="s">
        <v>45</v>
      </c>
      <c r="AJ36" s="45">
        <f>IF(AN36=0,J36,0)</f>
      </c>
      <c r="AK36" s="45">
        <f>IF(AN36=12,J36,0)</f>
      </c>
      <c r="AL36" s="45">
        <f>IF(AN36=21,J36,0)</f>
      </c>
      <c r="AN36" s="45" t="n">
        <v>12</v>
      </c>
      <c r="AO36" s="45">
        <f>G36*0.039716312</f>
      </c>
      <c r="AP36" s="45">
        <f>G36*(1-0.039716312)</f>
      </c>
      <c r="AQ36" s="47" t="s">
        <v>77</v>
      </c>
      <c r="AV36" s="45">
        <f>AW36+AX36</f>
      </c>
      <c r="AW36" s="45">
        <f>F36*AO36</f>
      </c>
      <c r="AX36" s="45">
        <f>F36*AP36</f>
      </c>
      <c r="AY36" s="47" t="s">
        <v>110</v>
      </c>
      <c r="AZ36" s="47" t="s">
        <v>79</v>
      </c>
      <c r="BA36" s="28" t="s">
        <v>55</v>
      </c>
      <c r="BC36" s="45">
        <f>AW36+AX36</f>
      </c>
      <c r="BD36" s="45">
        <f>G36/(100-BE36)*100</f>
      </c>
      <c r="BE36" s="45" t="n">
        <v>0</v>
      </c>
      <c r="BF36" s="45">
        <f>36</f>
      </c>
      <c r="BH36" s="45">
        <f>F36*AO36</f>
      </c>
      <c r="BI36" s="45">
        <f>F36*AP36</f>
      </c>
      <c r="BJ36" s="45">
        <f>F36*G36</f>
      </c>
      <c r="BK36" s="45"/>
      <c r="BL36" s="45" t="n">
        <v>722</v>
      </c>
      <c r="BW36" s="45" t="n">
        <v>12</v>
      </c>
      <c r="BX36" s="14" t="s">
        <v>131</v>
      </c>
    </row>
    <row r="37">
      <c r="A37" s="9" t="s">
        <v>132</v>
      </c>
      <c r="B37" s="10" t="s">
        <v>133</v>
      </c>
      <c r="C37" s="14" t="s">
        <v>134</v>
      </c>
      <c r="D37" s="10"/>
      <c r="E37" s="10" t="s">
        <v>91</v>
      </c>
      <c r="F37" s="45" t="n">
        <v>2</v>
      </c>
      <c r="G37" s="45" t="n">
        <v>0</v>
      </c>
      <c r="H37" s="45">
        <f>F37*AO37</f>
      </c>
      <c r="I37" s="45">
        <f>F37*AP37</f>
      </c>
      <c r="J37" s="45">
        <f>F37*G37</f>
      </c>
      <c r="K37" s="46" t="s">
        <v>52</v>
      </c>
      <c r="Z37" s="45">
        <f>IF(AQ37="5",BJ37,0)</f>
      </c>
      <c r="AB37" s="45">
        <f>IF(AQ37="1",BH37,0)</f>
      </c>
      <c r="AC37" s="45">
        <f>IF(AQ37="1",BI37,0)</f>
      </c>
      <c r="AD37" s="45">
        <f>IF(AQ37="7",BH37,0)</f>
      </c>
      <c r="AE37" s="45">
        <f>IF(AQ37="7",BI37,0)</f>
      </c>
      <c r="AF37" s="45">
        <f>IF(AQ37="2",BH37,0)</f>
      </c>
      <c r="AG37" s="45">
        <f>IF(AQ37="2",BI37,0)</f>
      </c>
      <c r="AH37" s="45">
        <f>IF(AQ37="0",BJ37,0)</f>
      </c>
      <c r="AI37" s="28" t="s">
        <v>45</v>
      </c>
      <c r="AJ37" s="45">
        <f>IF(AN37=0,J37,0)</f>
      </c>
      <c r="AK37" s="45">
        <f>IF(AN37=12,J37,0)</f>
      </c>
      <c r="AL37" s="45">
        <f>IF(AN37=21,J37,0)</f>
      </c>
      <c r="AN37" s="45" t="n">
        <v>12</v>
      </c>
      <c r="AO37" s="45">
        <f>G37*0.371322751</f>
      </c>
      <c r="AP37" s="45">
        <f>G37*(1-0.371322751)</f>
      </c>
      <c r="AQ37" s="47" t="s">
        <v>77</v>
      </c>
      <c r="AV37" s="45">
        <f>AW37+AX37</f>
      </c>
      <c r="AW37" s="45">
        <f>F37*AO37</f>
      </c>
      <c r="AX37" s="45">
        <f>F37*AP37</f>
      </c>
      <c r="AY37" s="47" t="s">
        <v>110</v>
      </c>
      <c r="AZ37" s="47" t="s">
        <v>79</v>
      </c>
      <c r="BA37" s="28" t="s">
        <v>55</v>
      </c>
      <c r="BC37" s="45">
        <f>AW37+AX37</f>
      </c>
      <c r="BD37" s="45">
        <f>G37/(100-BE37)*100</f>
      </c>
      <c r="BE37" s="45" t="n">
        <v>0</v>
      </c>
      <c r="BF37" s="45">
        <f>37</f>
      </c>
      <c r="BH37" s="45">
        <f>F37*AO37</f>
      </c>
      <c r="BI37" s="45">
        <f>F37*AP37</f>
      </c>
      <c r="BJ37" s="45">
        <f>F37*G37</f>
      </c>
      <c r="BK37" s="45"/>
      <c r="BL37" s="45" t="n">
        <v>722</v>
      </c>
      <c r="BW37" s="45" t="n">
        <v>12</v>
      </c>
      <c r="BX37" s="14" t="s">
        <v>134</v>
      </c>
    </row>
    <row r="38" ht="24.75">
      <c r="A38" s="9" t="s">
        <v>135</v>
      </c>
      <c r="B38" s="10" t="s">
        <v>99</v>
      </c>
      <c r="C38" s="14" t="s">
        <v>100</v>
      </c>
      <c r="D38" s="10"/>
      <c r="E38" s="10" t="s">
        <v>66</v>
      </c>
      <c r="F38" s="45" t="n">
        <v>2</v>
      </c>
      <c r="G38" s="45" t="n">
        <v>0</v>
      </c>
      <c r="H38" s="45">
        <f>F38*AO38</f>
      </c>
      <c r="I38" s="45">
        <f>F38*AP38</f>
      </c>
      <c r="J38" s="45">
        <f>F38*G38</f>
      </c>
      <c r="K38" s="46" t="s">
        <v>101</v>
      </c>
      <c r="Z38" s="45">
        <f>IF(AQ38="5",BJ38,0)</f>
      </c>
      <c r="AB38" s="45">
        <f>IF(AQ38="1",BH38,0)</f>
      </c>
      <c r="AC38" s="45">
        <f>IF(AQ38="1",BI38,0)</f>
      </c>
      <c r="AD38" s="45">
        <f>IF(AQ38="7",BH38,0)</f>
      </c>
      <c r="AE38" s="45">
        <f>IF(AQ38="7",BI38,0)</f>
      </c>
      <c r="AF38" s="45">
        <f>IF(AQ38="2",BH38,0)</f>
      </c>
      <c r="AG38" s="45">
        <f>IF(AQ38="2",BI38,0)</f>
      </c>
      <c r="AH38" s="45">
        <f>IF(AQ38="0",BJ38,0)</f>
      </c>
      <c r="AI38" s="28" t="s">
        <v>45</v>
      </c>
      <c r="AJ38" s="45">
        <f>IF(AN38=0,J38,0)</f>
      </c>
      <c r="AK38" s="45">
        <f>IF(AN38=12,J38,0)</f>
      </c>
      <c r="AL38" s="45">
        <f>IF(AN38=21,J38,0)</f>
      </c>
      <c r="AN38" s="45" t="n">
        <v>12</v>
      </c>
      <c r="AO38" s="45">
        <f>G38*0</f>
      </c>
      <c r="AP38" s="45">
        <f>G38*(1-0)</f>
      </c>
      <c r="AQ38" s="47" t="s">
        <v>77</v>
      </c>
      <c r="AV38" s="45">
        <f>AW38+AX38</f>
      </c>
      <c r="AW38" s="45">
        <f>F38*AO38</f>
      </c>
      <c r="AX38" s="45">
        <f>F38*AP38</f>
      </c>
      <c r="AY38" s="47" t="s">
        <v>110</v>
      </c>
      <c r="AZ38" s="47" t="s">
        <v>79</v>
      </c>
      <c r="BA38" s="28" t="s">
        <v>55</v>
      </c>
      <c r="BC38" s="45">
        <f>AW38+AX38</f>
      </c>
      <c r="BD38" s="45">
        <f>G38/(100-BE38)*100</f>
      </c>
      <c r="BE38" s="45" t="n">
        <v>0</v>
      </c>
      <c r="BF38" s="45">
        <f>38</f>
      </c>
      <c r="BH38" s="45">
        <f>F38*AO38</f>
      </c>
      <c r="BI38" s="45">
        <f>F38*AP38</f>
      </c>
      <c r="BJ38" s="45">
        <f>F38*G38</f>
      </c>
      <c r="BK38" s="45"/>
      <c r="BL38" s="45" t="n">
        <v>722</v>
      </c>
      <c r="BW38" s="45" t="n">
        <v>12</v>
      </c>
      <c r="BX38" s="14" t="s">
        <v>100</v>
      </c>
    </row>
    <row r="39">
      <c r="A39" s="9" t="s">
        <v>136</v>
      </c>
      <c r="B39" s="10" t="s">
        <v>137</v>
      </c>
      <c r="C39" s="14" t="s">
        <v>138</v>
      </c>
      <c r="D39" s="10"/>
      <c r="E39" s="10" t="s">
        <v>71</v>
      </c>
      <c r="F39" s="45" t="n">
        <v>0.0195</v>
      </c>
      <c r="G39" s="45" t="n">
        <v>0</v>
      </c>
      <c r="H39" s="45">
        <f>F39*AO39</f>
      </c>
      <c r="I39" s="45">
        <f>F39*AP39</f>
      </c>
      <c r="J39" s="45">
        <f>F39*G39</f>
      </c>
      <c r="K39" s="46" t="s">
        <v>52</v>
      </c>
      <c r="Z39" s="45">
        <f>IF(AQ39="5",BJ39,0)</f>
      </c>
      <c r="AB39" s="45">
        <f>IF(AQ39="1",BH39,0)</f>
      </c>
      <c r="AC39" s="45">
        <f>IF(AQ39="1",BI39,0)</f>
      </c>
      <c r="AD39" s="45">
        <f>IF(AQ39="7",BH39,0)</f>
      </c>
      <c r="AE39" s="45">
        <f>IF(AQ39="7",BI39,0)</f>
      </c>
      <c r="AF39" s="45">
        <f>IF(AQ39="2",BH39,0)</f>
      </c>
      <c r="AG39" s="45">
        <f>IF(AQ39="2",BI39,0)</f>
      </c>
      <c r="AH39" s="45">
        <f>IF(AQ39="0",BJ39,0)</f>
      </c>
      <c r="AI39" s="28" t="s">
        <v>45</v>
      </c>
      <c r="AJ39" s="45">
        <f>IF(AN39=0,J39,0)</f>
      </c>
      <c r="AK39" s="45">
        <f>IF(AN39=12,J39,0)</f>
      </c>
      <c r="AL39" s="45">
        <f>IF(AN39=21,J39,0)</f>
      </c>
      <c r="AN39" s="45" t="n">
        <v>12</v>
      </c>
      <c r="AO39" s="45">
        <f>G39*0</f>
      </c>
      <c r="AP39" s="45">
        <f>G39*(1-0)</f>
      </c>
      <c r="AQ39" s="47" t="s">
        <v>68</v>
      </c>
      <c r="AV39" s="45">
        <f>AW39+AX39</f>
      </c>
      <c r="AW39" s="45">
        <f>F39*AO39</f>
      </c>
      <c r="AX39" s="45">
        <f>F39*AP39</f>
      </c>
      <c r="AY39" s="47" t="s">
        <v>110</v>
      </c>
      <c r="AZ39" s="47" t="s">
        <v>79</v>
      </c>
      <c r="BA39" s="28" t="s">
        <v>55</v>
      </c>
      <c r="BC39" s="45">
        <f>AW39+AX39</f>
      </c>
      <c r="BD39" s="45">
        <f>G39/(100-BE39)*100</f>
      </c>
      <c r="BE39" s="45" t="n">
        <v>0</v>
      </c>
      <c r="BF39" s="45">
        <f>39</f>
      </c>
      <c r="BH39" s="45">
        <f>F39*AO39</f>
      </c>
      <c r="BI39" s="45">
        <f>F39*AP39</f>
      </c>
      <c r="BJ39" s="45">
        <f>F39*G39</f>
      </c>
      <c r="BK39" s="45"/>
      <c r="BL39" s="45" t="n">
        <v>722</v>
      </c>
      <c r="BW39" s="45" t="n">
        <v>12</v>
      </c>
      <c r="BX39" s="14" t="s">
        <v>138</v>
      </c>
    </row>
    <row r="40">
      <c r="A40" s="48" t="s">
        <v>45</v>
      </c>
      <c r="B40" s="49" t="s">
        <v>139</v>
      </c>
      <c r="C40" s="50" t="s">
        <v>140</v>
      </c>
      <c r="D40" s="49"/>
      <c r="E40" s="51" t="s">
        <v>2</v>
      </c>
      <c r="F40" s="51" t="s">
        <v>2</v>
      </c>
      <c r="G40" s="51" t="s">
        <v>2</v>
      </c>
      <c r="H40" s="2">
        <f>SUM(H41:H48)</f>
      </c>
      <c r="I40" s="2">
        <f>SUM(I41:I48)</f>
      </c>
      <c r="J40" s="2">
        <f>SUM(J41:J48)</f>
      </c>
      <c r="K40" s="52" t="s">
        <v>45</v>
      </c>
      <c r="AI40" s="28" t="s">
        <v>45</v>
      </c>
      <c r="AS40" s="2">
        <f>SUM(AJ41:AJ48)</f>
      </c>
      <c r="AT40" s="2">
        <f>SUM(AK41:AK48)</f>
      </c>
      <c r="AU40" s="2">
        <f>SUM(AL41:AL48)</f>
      </c>
    </row>
    <row r="41">
      <c r="A41" s="9" t="s">
        <v>141</v>
      </c>
      <c r="B41" s="10" t="s">
        <v>142</v>
      </c>
      <c r="C41" s="14" t="s">
        <v>143</v>
      </c>
      <c r="D41" s="10"/>
      <c r="E41" s="10" t="s">
        <v>144</v>
      </c>
      <c r="F41" s="45" t="n">
        <v>1</v>
      </c>
      <c r="G41" s="45" t="n">
        <v>0</v>
      </c>
      <c r="H41" s="45">
        <f>F41*AO41</f>
      </c>
      <c r="I41" s="45">
        <f>F41*AP41</f>
      </c>
      <c r="J41" s="45">
        <f>F41*G41</f>
      </c>
      <c r="K41" s="46" t="s">
        <v>52</v>
      </c>
      <c r="Z41" s="45">
        <f>IF(AQ41="5",BJ41,0)</f>
      </c>
      <c r="AB41" s="45">
        <f>IF(AQ41="1",BH41,0)</f>
      </c>
      <c r="AC41" s="45">
        <f>IF(AQ41="1",BI41,0)</f>
      </c>
      <c r="AD41" s="45">
        <f>IF(AQ41="7",BH41,0)</f>
      </c>
      <c r="AE41" s="45">
        <f>IF(AQ41="7",BI41,0)</f>
      </c>
      <c r="AF41" s="45">
        <f>IF(AQ41="2",BH41,0)</f>
      </c>
      <c r="AG41" s="45">
        <f>IF(AQ41="2",BI41,0)</f>
      </c>
      <c r="AH41" s="45">
        <f>IF(AQ41="0",BJ41,0)</f>
      </c>
      <c r="AI41" s="28" t="s">
        <v>45</v>
      </c>
      <c r="AJ41" s="45">
        <f>IF(AN41=0,J41,0)</f>
      </c>
      <c r="AK41" s="45">
        <f>IF(AN41=12,J41,0)</f>
      </c>
      <c r="AL41" s="45">
        <f>IF(AN41=21,J41,0)</f>
      </c>
      <c r="AN41" s="45" t="n">
        <v>12</v>
      </c>
      <c r="AO41" s="45">
        <f>G41*0.689555556</f>
      </c>
      <c r="AP41" s="45">
        <f>G41*(1-0.689555556)</f>
      </c>
      <c r="AQ41" s="47" t="s">
        <v>77</v>
      </c>
      <c r="AV41" s="45">
        <f>AW41+AX41</f>
      </c>
      <c r="AW41" s="45">
        <f>F41*AO41</f>
      </c>
      <c r="AX41" s="45">
        <f>F41*AP41</f>
      </c>
      <c r="AY41" s="47" t="s">
        <v>145</v>
      </c>
      <c r="AZ41" s="47" t="s">
        <v>79</v>
      </c>
      <c r="BA41" s="28" t="s">
        <v>55</v>
      </c>
      <c r="BC41" s="45">
        <f>AW41+AX41</f>
      </c>
      <c r="BD41" s="45">
        <f>G41/(100-BE41)*100</f>
      </c>
      <c r="BE41" s="45" t="n">
        <v>0</v>
      </c>
      <c r="BF41" s="45">
        <f>41</f>
      </c>
      <c r="BH41" s="45">
        <f>F41*AO41</f>
      </c>
      <c r="BI41" s="45">
        <f>F41*AP41</f>
      </c>
      <c r="BJ41" s="45">
        <f>F41*G41</f>
      </c>
      <c r="BK41" s="45"/>
      <c r="BL41" s="45" t="n">
        <v>725</v>
      </c>
      <c r="BW41" s="45" t="n">
        <v>12</v>
      </c>
      <c r="BX41" s="14" t="s">
        <v>143</v>
      </c>
    </row>
    <row r="42">
      <c r="A42" s="9" t="s">
        <v>146</v>
      </c>
      <c r="B42" s="10" t="s">
        <v>147</v>
      </c>
      <c r="C42" s="14" t="s">
        <v>148</v>
      </c>
      <c r="D42" s="10"/>
      <c r="E42" s="10" t="s">
        <v>91</v>
      </c>
      <c r="F42" s="45" t="n">
        <v>1</v>
      </c>
      <c r="G42" s="45" t="n">
        <v>0</v>
      </c>
      <c r="H42" s="45">
        <f>F42*AO42</f>
      </c>
      <c r="I42" s="45">
        <f>F42*AP42</f>
      </c>
      <c r="J42" s="45">
        <f>F42*G42</f>
      </c>
      <c r="K42" s="46" t="s">
        <v>52</v>
      </c>
      <c r="Z42" s="45">
        <f>IF(AQ42="5",BJ42,0)</f>
      </c>
      <c r="AB42" s="45">
        <f>IF(AQ42="1",BH42,0)</f>
      </c>
      <c r="AC42" s="45">
        <f>IF(AQ42="1",BI42,0)</f>
      </c>
      <c r="AD42" s="45">
        <f>IF(AQ42="7",BH42,0)</f>
      </c>
      <c r="AE42" s="45">
        <f>IF(AQ42="7",BI42,0)</f>
      </c>
      <c r="AF42" s="45">
        <f>IF(AQ42="2",BH42,0)</f>
      </c>
      <c r="AG42" s="45">
        <f>IF(AQ42="2",BI42,0)</f>
      </c>
      <c r="AH42" s="45">
        <f>IF(AQ42="0",BJ42,0)</f>
      </c>
      <c r="AI42" s="28" t="s">
        <v>45</v>
      </c>
      <c r="AJ42" s="45">
        <f>IF(AN42=0,J42,0)</f>
      </c>
      <c r="AK42" s="45">
        <f>IF(AN42=12,J42,0)</f>
      </c>
      <c r="AL42" s="45">
        <f>IF(AN42=21,J42,0)</f>
      </c>
      <c r="AN42" s="45" t="n">
        <v>12</v>
      </c>
      <c r="AO42" s="45">
        <f>G42*0.893740458</f>
      </c>
      <c r="AP42" s="45">
        <f>G42*(1-0.893740458)</f>
      </c>
      <c r="AQ42" s="47" t="s">
        <v>77</v>
      </c>
      <c r="AV42" s="45">
        <f>AW42+AX42</f>
      </c>
      <c r="AW42" s="45">
        <f>F42*AO42</f>
      </c>
      <c r="AX42" s="45">
        <f>F42*AP42</f>
      </c>
      <c r="AY42" s="47" t="s">
        <v>145</v>
      </c>
      <c r="AZ42" s="47" t="s">
        <v>79</v>
      </c>
      <c r="BA42" s="28" t="s">
        <v>55</v>
      </c>
      <c r="BC42" s="45">
        <f>AW42+AX42</f>
      </c>
      <c r="BD42" s="45">
        <f>G42/(100-BE42)*100</f>
      </c>
      <c r="BE42" s="45" t="n">
        <v>0</v>
      </c>
      <c r="BF42" s="45">
        <f>42</f>
      </c>
      <c r="BH42" s="45">
        <f>F42*AO42</f>
      </c>
      <c r="BI42" s="45">
        <f>F42*AP42</f>
      </c>
      <c r="BJ42" s="45">
        <f>F42*G42</f>
      </c>
      <c r="BK42" s="45"/>
      <c r="BL42" s="45" t="n">
        <v>725</v>
      </c>
      <c r="BW42" s="45" t="n">
        <v>12</v>
      </c>
      <c r="BX42" s="14" t="s">
        <v>148</v>
      </c>
    </row>
    <row r="43">
      <c r="A43" s="9" t="s">
        <v>149</v>
      </c>
      <c r="B43" s="10" t="s">
        <v>150</v>
      </c>
      <c r="C43" s="14" t="s">
        <v>151</v>
      </c>
      <c r="D43" s="10"/>
      <c r="E43" s="10" t="s">
        <v>91</v>
      </c>
      <c r="F43" s="45" t="n">
        <v>1</v>
      </c>
      <c r="G43" s="45" t="n">
        <v>0</v>
      </c>
      <c r="H43" s="45">
        <f>F43*AO43</f>
      </c>
      <c r="I43" s="45">
        <f>F43*AP43</f>
      </c>
      <c r="J43" s="45">
        <f>F43*G43</f>
      </c>
      <c r="K43" s="46" t="s">
        <v>52</v>
      </c>
      <c r="Z43" s="45">
        <f>IF(AQ43="5",BJ43,0)</f>
      </c>
      <c r="AB43" s="45">
        <f>IF(AQ43="1",BH43,0)</f>
      </c>
      <c r="AC43" s="45">
        <f>IF(AQ43="1",BI43,0)</f>
      </c>
      <c r="AD43" s="45">
        <f>IF(AQ43="7",BH43,0)</f>
      </c>
      <c r="AE43" s="45">
        <f>IF(AQ43="7",BI43,0)</f>
      </c>
      <c r="AF43" s="45">
        <f>IF(AQ43="2",BH43,0)</f>
      </c>
      <c r="AG43" s="45">
        <f>IF(AQ43="2",BI43,0)</f>
      </c>
      <c r="AH43" s="45">
        <f>IF(AQ43="0",BJ43,0)</f>
      </c>
      <c r="AI43" s="28" t="s">
        <v>45</v>
      </c>
      <c r="AJ43" s="45">
        <f>IF(AN43=0,J43,0)</f>
      </c>
      <c r="AK43" s="45">
        <f>IF(AN43=12,J43,0)</f>
      </c>
      <c r="AL43" s="45">
        <f>IF(AN43=21,J43,0)</f>
      </c>
      <c r="AN43" s="45" t="n">
        <v>12</v>
      </c>
      <c r="AO43" s="45">
        <f>G43*0.033347196</f>
      </c>
      <c r="AP43" s="45">
        <f>G43*(1-0.033347196)</f>
      </c>
      <c r="AQ43" s="47" t="s">
        <v>77</v>
      </c>
      <c r="AV43" s="45">
        <f>AW43+AX43</f>
      </c>
      <c r="AW43" s="45">
        <f>F43*AO43</f>
      </c>
      <c r="AX43" s="45">
        <f>F43*AP43</f>
      </c>
      <c r="AY43" s="47" t="s">
        <v>145</v>
      </c>
      <c r="AZ43" s="47" t="s">
        <v>79</v>
      </c>
      <c r="BA43" s="28" t="s">
        <v>55</v>
      </c>
      <c r="BC43" s="45">
        <f>AW43+AX43</f>
      </c>
      <c r="BD43" s="45">
        <f>G43/(100-BE43)*100</f>
      </c>
      <c r="BE43" s="45" t="n">
        <v>0</v>
      </c>
      <c r="BF43" s="45">
        <f>43</f>
      </c>
      <c r="BH43" s="45">
        <f>F43*AO43</f>
      </c>
      <c r="BI43" s="45">
        <f>F43*AP43</f>
      </c>
      <c r="BJ43" s="45">
        <f>F43*G43</f>
      </c>
      <c r="BK43" s="45"/>
      <c r="BL43" s="45" t="n">
        <v>725</v>
      </c>
      <c r="BW43" s="45" t="n">
        <v>12</v>
      </c>
      <c r="BX43" s="14" t="s">
        <v>151</v>
      </c>
    </row>
    <row r="44">
      <c r="A44" s="9" t="s">
        <v>152</v>
      </c>
      <c r="B44" s="10" t="s">
        <v>153</v>
      </c>
      <c r="C44" s="14" t="s">
        <v>154</v>
      </c>
      <c r="D44" s="10"/>
      <c r="E44" s="10" t="s">
        <v>91</v>
      </c>
      <c r="F44" s="45" t="n">
        <v>1</v>
      </c>
      <c r="G44" s="45" t="n">
        <v>0</v>
      </c>
      <c r="H44" s="45">
        <f>F44*AO44</f>
      </c>
      <c r="I44" s="45">
        <f>F44*AP44</f>
      </c>
      <c r="J44" s="45">
        <f>F44*G44</f>
      </c>
      <c r="K44" s="46" t="s">
        <v>52</v>
      </c>
      <c r="Z44" s="45">
        <f>IF(AQ44="5",BJ44,0)</f>
      </c>
      <c r="AB44" s="45">
        <f>IF(AQ44="1",BH44,0)</f>
      </c>
      <c r="AC44" s="45">
        <f>IF(AQ44="1",BI44,0)</f>
      </c>
      <c r="AD44" s="45">
        <f>IF(AQ44="7",BH44,0)</f>
      </c>
      <c r="AE44" s="45">
        <f>IF(AQ44="7",BI44,0)</f>
      </c>
      <c r="AF44" s="45">
        <f>IF(AQ44="2",BH44,0)</f>
      </c>
      <c r="AG44" s="45">
        <f>IF(AQ44="2",BI44,0)</f>
      </c>
      <c r="AH44" s="45">
        <f>IF(AQ44="0",BJ44,0)</f>
      </c>
      <c r="AI44" s="28" t="s">
        <v>45</v>
      </c>
      <c r="AJ44" s="45">
        <f>IF(AN44=0,J44,0)</f>
      </c>
      <c r="AK44" s="45">
        <f>IF(AN44=12,J44,0)</f>
      </c>
      <c r="AL44" s="45">
        <f>IF(AN44=21,J44,0)</f>
      </c>
      <c r="AN44" s="45" t="n">
        <v>12</v>
      </c>
      <c r="AO44" s="45">
        <f>G44*0.868028037</f>
      </c>
      <c r="AP44" s="45">
        <f>G44*(1-0.868028037)</f>
      </c>
      <c r="AQ44" s="47" t="s">
        <v>77</v>
      </c>
      <c r="AV44" s="45">
        <f>AW44+AX44</f>
      </c>
      <c r="AW44" s="45">
        <f>F44*AO44</f>
      </c>
      <c r="AX44" s="45">
        <f>F44*AP44</f>
      </c>
      <c r="AY44" s="47" t="s">
        <v>145</v>
      </c>
      <c r="AZ44" s="47" t="s">
        <v>79</v>
      </c>
      <c r="BA44" s="28" t="s">
        <v>55</v>
      </c>
      <c r="BC44" s="45">
        <f>AW44+AX44</f>
      </c>
      <c r="BD44" s="45">
        <f>G44/(100-BE44)*100</f>
      </c>
      <c r="BE44" s="45" t="n">
        <v>0</v>
      </c>
      <c r="BF44" s="45">
        <f>44</f>
      </c>
      <c r="BH44" s="45">
        <f>F44*AO44</f>
      </c>
      <c r="BI44" s="45">
        <f>F44*AP44</f>
      </c>
      <c r="BJ44" s="45">
        <f>F44*G44</f>
      </c>
      <c r="BK44" s="45"/>
      <c r="BL44" s="45" t="n">
        <v>725</v>
      </c>
      <c r="BW44" s="45" t="n">
        <v>12</v>
      </c>
      <c r="BX44" s="14" t="s">
        <v>154</v>
      </c>
    </row>
    <row r="45">
      <c r="A45" s="9" t="s">
        <v>155</v>
      </c>
      <c r="B45" s="10" t="s">
        <v>156</v>
      </c>
      <c r="C45" s="14" t="s">
        <v>157</v>
      </c>
      <c r="D45" s="10"/>
      <c r="E45" s="10" t="s">
        <v>144</v>
      </c>
      <c r="F45" s="45" t="n">
        <v>1</v>
      </c>
      <c r="G45" s="45" t="n">
        <v>0</v>
      </c>
      <c r="H45" s="45">
        <f>F45*AO45</f>
      </c>
      <c r="I45" s="45">
        <f>F45*AP45</f>
      </c>
      <c r="J45" s="45">
        <f>F45*G45</f>
      </c>
      <c r="K45" s="46" t="s">
        <v>52</v>
      </c>
      <c r="Z45" s="45">
        <f>IF(AQ45="5",BJ45,0)</f>
      </c>
      <c r="AB45" s="45">
        <f>IF(AQ45="1",BH45,0)</f>
      </c>
      <c r="AC45" s="45">
        <f>IF(AQ45="1",BI45,0)</f>
      </c>
      <c r="AD45" s="45">
        <f>IF(AQ45="7",BH45,0)</f>
      </c>
      <c r="AE45" s="45">
        <f>IF(AQ45="7",BI45,0)</f>
      </c>
      <c r="AF45" s="45">
        <f>IF(AQ45="2",BH45,0)</f>
      </c>
      <c r="AG45" s="45">
        <f>IF(AQ45="2",BI45,0)</f>
      </c>
      <c r="AH45" s="45">
        <f>IF(AQ45="0",BJ45,0)</f>
      </c>
      <c r="AI45" s="28" t="s">
        <v>45</v>
      </c>
      <c r="AJ45" s="45">
        <f>IF(AN45=0,J45,0)</f>
      </c>
      <c r="AK45" s="45">
        <f>IF(AN45=12,J45,0)</f>
      </c>
      <c r="AL45" s="45">
        <f>IF(AN45=21,J45,0)</f>
      </c>
      <c r="AN45" s="45" t="n">
        <v>12</v>
      </c>
      <c r="AO45" s="45">
        <f>G45*0.154873047</f>
      </c>
      <c r="AP45" s="45">
        <f>G45*(1-0.154873047)</f>
      </c>
      <c r="AQ45" s="47" t="s">
        <v>77</v>
      </c>
      <c r="AV45" s="45">
        <f>AW45+AX45</f>
      </c>
      <c r="AW45" s="45">
        <f>F45*AO45</f>
      </c>
      <c r="AX45" s="45">
        <f>F45*AP45</f>
      </c>
      <c r="AY45" s="47" t="s">
        <v>145</v>
      </c>
      <c r="AZ45" s="47" t="s">
        <v>79</v>
      </c>
      <c r="BA45" s="28" t="s">
        <v>55</v>
      </c>
      <c r="BC45" s="45">
        <f>AW45+AX45</f>
      </c>
      <c r="BD45" s="45">
        <f>G45/(100-BE45)*100</f>
      </c>
      <c r="BE45" s="45" t="n">
        <v>0</v>
      </c>
      <c r="BF45" s="45">
        <f>45</f>
      </c>
      <c r="BH45" s="45">
        <f>F45*AO45</f>
      </c>
      <c r="BI45" s="45">
        <f>F45*AP45</f>
      </c>
      <c r="BJ45" s="45">
        <f>F45*G45</f>
      </c>
      <c r="BK45" s="45"/>
      <c r="BL45" s="45" t="n">
        <v>725</v>
      </c>
      <c r="BW45" s="45" t="n">
        <v>12</v>
      </c>
      <c r="BX45" s="14" t="s">
        <v>157</v>
      </c>
    </row>
    <row r="46" ht="24.75">
      <c r="A46" s="9" t="s">
        <v>158</v>
      </c>
      <c r="B46" s="10" t="s">
        <v>159</v>
      </c>
      <c r="C46" s="14" t="s">
        <v>160</v>
      </c>
      <c r="D46" s="10"/>
      <c r="E46" s="10" t="s">
        <v>144</v>
      </c>
      <c r="F46" s="45" t="n">
        <v>2</v>
      </c>
      <c r="G46" s="45" t="n">
        <v>0</v>
      </c>
      <c r="H46" s="45">
        <f>F46*AO46</f>
      </c>
      <c r="I46" s="45">
        <f>F46*AP46</f>
      </c>
      <c r="J46" s="45">
        <f>F46*G46</f>
      </c>
      <c r="K46" s="46" t="s">
        <v>52</v>
      </c>
      <c r="Z46" s="45">
        <f>IF(AQ46="5",BJ46,0)</f>
      </c>
      <c r="AB46" s="45">
        <f>IF(AQ46="1",BH46,0)</f>
      </c>
      <c r="AC46" s="45">
        <f>IF(AQ46="1",BI46,0)</f>
      </c>
      <c r="AD46" s="45">
        <f>IF(AQ46="7",BH46,0)</f>
      </c>
      <c r="AE46" s="45">
        <f>IF(AQ46="7",BI46,0)</f>
      </c>
      <c r="AF46" s="45">
        <f>IF(AQ46="2",BH46,0)</f>
      </c>
      <c r="AG46" s="45">
        <f>IF(AQ46="2",BI46,0)</f>
      </c>
      <c r="AH46" s="45">
        <f>IF(AQ46="0",BJ46,0)</f>
      </c>
      <c r="AI46" s="28" t="s">
        <v>45</v>
      </c>
      <c r="AJ46" s="45">
        <f>IF(AN46=0,J46,0)</f>
      </c>
      <c r="AK46" s="45">
        <f>IF(AN46=12,J46,0)</f>
      </c>
      <c r="AL46" s="45">
        <f>IF(AN46=21,J46,0)</f>
      </c>
      <c r="AN46" s="45" t="n">
        <v>12</v>
      </c>
      <c r="AO46" s="45">
        <f>G46*0.790983847</f>
      </c>
      <c r="AP46" s="45">
        <f>G46*(1-0.790983847)</f>
      </c>
      <c r="AQ46" s="47" t="s">
        <v>77</v>
      </c>
      <c r="AV46" s="45">
        <f>AW46+AX46</f>
      </c>
      <c r="AW46" s="45">
        <f>F46*AO46</f>
      </c>
      <c r="AX46" s="45">
        <f>F46*AP46</f>
      </c>
      <c r="AY46" s="47" t="s">
        <v>145</v>
      </c>
      <c r="AZ46" s="47" t="s">
        <v>79</v>
      </c>
      <c r="BA46" s="28" t="s">
        <v>55</v>
      </c>
      <c r="BC46" s="45">
        <f>AW46+AX46</f>
      </c>
      <c r="BD46" s="45">
        <f>G46/(100-BE46)*100</f>
      </c>
      <c r="BE46" s="45" t="n">
        <v>0</v>
      </c>
      <c r="BF46" s="45">
        <f>46</f>
      </c>
      <c r="BH46" s="45">
        <f>F46*AO46</f>
      </c>
      <c r="BI46" s="45">
        <f>F46*AP46</f>
      </c>
      <c r="BJ46" s="45">
        <f>F46*G46</f>
      </c>
      <c r="BK46" s="45"/>
      <c r="BL46" s="45" t="n">
        <v>725</v>
      </c>
      <c r="BW46" s="45" t="n">
        <v>12</v>
      </c>
      <c r="BX46" s="14" t="s">
        <v>160</v>
      </c>
    </row>
    <row r="47">
      <c r="A47" s="9" t="s">
        <v>161</v>
      </c>
      <c r="B47" s="10" t="s">
        <v>162</v>
      </c>
      <c r="C47" s="14" t="s">
        <v>163</v>
      </c>
      <c r="D47" s="10"/>
      <c r="E47" s="10" t="s">
        <v>144</v>
      </c>
      <c r="F47" s="45" t="n">
        <v>2</v>
      </c>
      <c r="G47" s="45" t="n">
        <v>0</v>
      </c>
      <c r="H47" s="45">
        <f>F47*AO47</f>
      </c>
      <c r="I47" s="45">
        <f>F47*AP47</f>
      </c>
      <c r="J47" s="45">
        <f>F47*G47</f>
      </c>
      <c r="K47" s="46" t="s">
        <v>52</v>
      </c>
      <c r="Z47" s="45">
        <f>IF(AQ47="5",BJ47,0)</f>
      </c>
      <c r="AB47" s="45">
        <f>IF(AQ47="1",BH47,0)</f>
      </c>
      <c r="AC47" s="45">
        <f>IF(AQ47="1",BI47,0)</f>
      </c>
      <c r="AD47" s="45">
        <f>IF(AQ47="7",BH47,0)</f>
      </c>
      <c r="AE47" s="45">
        <f>IF(AQ47="7",BI47,0)</f>
      </c>
      <c r="AF47" s="45">
        <f>IF(AQ47="2",BH47,0)</f>
      </c>
      <c r="AG47" s="45">
        <f>IF(AQ47="2",BI47,0)</f>
      </c>
      <c r="AH47" s="45">
        <f>IF(AQ47="0",BJ47,0)</f>
      </c>
      <c r="AI47" s="28" t="s">
        <v>45</v>
      </c>
      <c r="AJ47" s="45">
        <f>IF(AN47=0,J47,0)</f>
      </c>
      <c r="AK47" s="45">
        <f>IF(AN47=12,J47,0)</f>
      </c>
      <c r="AL47" s="45">
        <f>IF(AN47=21,J47,0)</f>
      </c>
      <c r="AN47" s="45" t="n">
        <v>12</v>
      </c>
      <c r="AO47" s="45">
        <f>G47*0.288228883</f>
      </c>
      <c r="AP47" s="45">
        <f>G47*(1-0.288228883)</f>
      </c>
      <c r="AQ47" s="47" t="s">
        <v>77</v>
      </c>
      <c r="AV47" s="45">
        <f>AW47+AX47</f>
      </c>
      <c r="AW47" s="45">
        <f>F47*AO47</f>
      </c>
      <c r="AX47" s="45">
        <f>F47*AP47</f>
      </c>
      <c r="AY47" s="47" t="s">
        <v>145</v>
      </c>
      <c r="AZ47" s="47" t="s">
        <v>79</v>
      </c>
      <c r="BA47" s="28" t="s">
        <v>55</v>
      </c>
      <c r="BC47" s="45">
        <f>AW47+AX47</f>
      </c>
      <c r="BD47" s="45">
        <f>G47/(100-BE47)*100</f>
      </c>
      <c r="BE47" s="45" t="n">
        <v>0</v>
      </c>
      <c r="BF47" s="45">
        <f>47</f>
      </c>
      <c r="BH47" s="45">
        <f>F47*AO47</f>
      </c>
      <c r="BI47" s="45">
        <f>F47*AP47</f>
      </c>
      <c r="BJ47" s="45">
        <f>F47*G47</f>
      </c>
      <c r="BK47" s="45"/>
      <c r="BL47" s="45" t="n">
        <v>725</v>
      </c>
      <c r="BW47" s="45" t="n">
        <v>12</v>
      </c>
      <c r="BX47" s="14" t="s">
        <v>163</v>
      </c>
    </row>
    <row r="48">
      <c r="A48" s="53" t="s">
        <v>164</v>
      </c>
      <c r="B48" s="54" t="s">
        <v>165</v>
      </c>
      <c r="C48" s="55" t="s">
        <v>166</v>
      </c>
      <c r="D48" s="54"/>
      <c r="E48" s="54" t="s">
        <v>71</v>
      </c>
      <c r="F48" s="56" t="n">
        <v>0.0169</v>
      </c>
      <c r="G48" s="56" t="n">
        <v>0</v>
      </c>
      <c r="H48" s="56">
        <f>F48*AO48</f>
      </c>
      <c r="I48" s="56">
        <f>F48*AP48</f>
      </c>
      <c r="J48" s="56">
        <f>F48*G48</f>
      </c>
      <c r="K48" s="57" t="s">
        <v>52</v>
      </c>
      <c r="Z48" s="45">
        <f>IF(AQ48="5",BJ48,0)</f>
      </c>
      <c r="AB48" s="45">
        <f>IF(AQ48="1",BH48,0)</f>
      </c>
      <c r="AC48" s="45">
        <f>IF(AQ48="1",BI48,0)</f>
      </c>
      <c r="AD48" s="45">
        <f>IF(AQ48="7",BH48,0)</f>
      </c>
      <c r="AE48" s="45">
        <f>IF(AQ48="7",BI48,0)</f>
      </c>
      <c r="AF48" s="45">
        <f>IF(AQ48="2",BH48,0)</f>
      </c>
      <c r="AG48" s="45">
        <f>IF(AQ48="2",BI48,0)</f>
      </c>
      <c r="AH48" s="45">
        <f>IF(AQ48="0",BJ48,0)</f>
      </c>
      <c r="AI48" s="28" t="s">
        <v>45</v>
      </c>
      <c r="AJ48" s="45">
        <f>IF(AN48=0,J48,0)</f>
      </c>
      <c r="AK48" s="45">
        <f>IF(AN48=12,J48,0)</f>
      </c>
      <c r="AL48" s="45">
        <f>IF(AN48=21,J48,0)</f>
      </c>
      <c r="AN48" s="45" t="n">
        <v>12</v>
      </c>
      <c r="AO48" s="45">
        <f>G48*0</f>
      </c>
      <c r="AP48" s="45">
        <f>G48*(1-0)</f>
      </c>
      <c r="AQ48" s="47" t="s">
        <v>68</v>
      </c>
      <c r="AV48" s="45">
        <f>AW48+AX48</f>
      </c>
      <c r="AW48" s="45">
        <f>F48*AO48</f>
      </c>
      <c r="AX48" s="45">
        <f>F48*AP48</f>
      </c>
      <c r="AY48" s="47" t="s">
        <v>145</v>
      </c>
      <c r="AZ48" s="47" t="s">
        <v>79</v>
      </c>
      <c r="BA48" s="28" t="s">
        <v>55</v>
      </c>
      <c r="BC48" s="45">
        <f>AW48+AX48</f>
      </c>
      <c r="BD48" s="45">
        <f>G48/(100-BE48)*100</f>
      </c>
      <c r="BE48" s="45" t="n">
        <v>0</v>
      </c>
      <c r="BF48" s="45">
        <f>48</f>
      </c>
      <c r="BH48" s="45">
        <f>F48*AO48</f>
      </c>
      <c r="BI48" s="45">
        <f>F48*AP48</f>
      </c>
      <c r="BJ48" s="45">
        <f>F48*G48</f>
      </c>
      <c r="BK48" s="45"/>
      <c r="BL48" s="45" t="n">
        <v>725</v>
      </c>
      <c r="BW48" s="45" t="n">
        <v>12</v>
      </c>
      <c r="BX48" s="14" t="s">
        <v>166</v>
      </c>
    </row>
    <row r="49">
      <c r="H49" s="58" t="s">
        <v>167</v>
      </c>
      <c r="I49" s="58"/>
      <c r="J49" s="59">
        <f>J12+J18+J28+J40</f>
      </c>
    </row>
    <row r="50">
      <c r="A50" s="60" t="s">
        <v>168</v>
      </c>
    </row>
    <row r="51" customHeight="true" ht="12.75">
      <c r="A51" s="14" t="s">
        <v>45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H49:I49"/>
    <mergeCell ref="A51:K51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61" t="s">
        <v>169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4</v>
      </c>
      <c r="F2" s="7">
        <f>'Stavební rozpočet'!I2</f>
      </c>
      <c r="G2" s="4"/>
      <c r="H2" s="7" t="s">
        <v>170</v>
      </c>
      <c r="I2" s="8" t="s">
        <v>45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170</v>
      </c>
      <c r="I4" s="12" t="s">
        <v>45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12</v>
      </c>
      <c r="F6" s="14">
        <f>'Stavební rozpočet'!I6</f>
      </c>
      <c r="G6" s="10"/>
      <c r="H6" s="14" t="s">
        <v>170</v>
      </c>
      <c r="I6" s="12" t="s">
        <v>45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rozpočet'!G4</f>
      </c>
      <c r="D8" s="10"/>
      <c r="E8" s="14" t="s">
        <v>11</v>
      </c>
      <c r="F8" s="14">
        <f>'Stavební rozpočet'!G6</f>
      </c>
      <c r="G8" s="10"/>
      <c r="H8" s="10" t="s">
        <v>171</v>
      </c>
      <c r="I8" s="62" t="n">
        <v>33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rozpočet'!C8</f>
      </c>
      <c r="D10" s="10"/>
      <c r="E10" s="14" t="s">
        <v>15</v>
      </c>
      <c r="F10" s="14">
        <f>'Stavební rozpočet'!I8</f>
      </c>
      <c r="G10" s="10"/>
      <c r="H10" s="10" t="s">
        <v>172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2">
      <c r="A12" s="65" t="s">
        <v>173</v>
      </c>
      <c r="B12" s="65"/>
      <c r="C12" s="65"/>
      <c r="D12" s="65"/>
      <c r="E12" s="65"/>
      <c r="F12" s="65"/>
      <c r="G12" s="65"/>
      <c r="H12" s="65"/>
      <c r="I12" s="65"/>
    </row>
    <row r="13" customHeight="true" ht="26.25">
      <c r="A13" s="66" t="s">
        <v>174</v>
      </c>
      <c r="B13" s="67" t="s">
        <v>175</v>
      </c>
      <c r="C13" s="68"/>
      <c r="D13" s="69" t="s">
        <v>176</v>
      </c>
      <c r="E13" s="67" t="s">
        <v>177</v>
      </c>
      <c r="F13" s="68"/>
      <c r="G13" s="69" t="s">
        <v>178</v>
      </c>
      <c r="H13" s="67" t="s">
        <v>179</v>
      </c>
      <c r="I13" s="68"/>
    </row>
    <row r="14">
      <c r="A14" s="70" t="s">
        <v>180</v>
      </c>
      <c r="B14" s="71" t="s">
        <v>181</v>
      </c>
      <c r="C14" s="72">
        <f>SUM('Stavební rozpočet'!AB12:AB48)</f>
      </c>
      <c r="D14" s="73" t="s">
        <v>182</v>
      </c>
      <c r="E14" s="74"/>
      <c r="F14" s="72">
        <f>VORN!I15</f>
      </c>
      <c r="G14" s="73" t="s">
        <v>183</v>
      </c>
      <c r="H14" s="74"/>
      <c r="I14" s="75">
        <f>VORN!I21</f>
      </c>
    </row>
    <row r="15">
      <c r="A15" s="76" t="s">
        <v>45</v>
      </c>
      <c r="B15" s="71" t="s">
        <v>30</v>
      </c>
      <c r="C15" s="72">
        <f>SUM('Stavební rozpočet'!AC12:AC48)</f>
      </c>
      <c r="D15" s="73" t="s">
        <v>184</v>
      </c>
      <c r="E15" s="74"/>
      <c r="F15" s="72">
        <f>VORN!I16</f>
      </c>
      <c r="G15" s="73" t="s">
        <v>185</v>
      </c>
      <c r="H15" s="74"/>
      <c r="I15" s="75">
        <f>VORN!I22</f>
      </c>
    </row>
    <row r="16">
      <c r="A16" s="70" t="s">
        <v>186</v>
      </c>
      <c r="B16" s="71" t="s">
        <v>181</v>
      </c>
      <c r="C16" s="72">
        <f>SUM('Stavební rozpočet'!AD12:AD48)</f>
      </c>
      <c r="D16" s="73" t="s">
        <v>187</v>
      </c>
      <c r="E16" s="74"/>
      <c r="F16" s="72">
        <f>VORN!I17</f>
      </c>
      <c r="G16" s="73" t="s">
        <v>188</v>
      </c>
      <c r="H16" s="74"/>
      <c r="I16" s="75">
        <f>VORN!I23</f>
      </c>
    </row>
    <row r="17">
      <c r="A17" s="76" t="s">
        <v>45</v>
      </c>
      <c r="B17" s="71" t="s">
        <v>30</v>
      </c>
      <c r="C17" s="72">
        <f>SUM('Stavební rozpočet'!AE12:AE48)</f>
      </c>
      <c r="D17" s="73" t="s">
        <v>45</v>
      </c>
      <c r="E17" s="74"/>
      <c r="F17" s="75" t="s">
        <v>45</v>
      </c>
      <c r="G17" s="73" t="s">
        <v>189</v>
      </c>
      <c r="H17" s="74"/>
      <c r="I17" s="75">
        <f>VORN!I24</f>
      </c>
    </row>
    <row r="18">
      <c r="A18" s="70" t="s">
        <v>190</v>
      </c>
      <c r="B18" s="71" t="s">
        <v>181</v>
      </c>
      <c r="C18" s="72">
        <f>SUM('Stavební rozpočet'!AF12:AF48)</f>
      </c>
      <c r="D18" s="73" t="s">
        <v>45</v>
      </c>
      <c r="E18" s="74"/>
      <c r="F18" s="75" t="s">
        <v>45</v>
      </c>
      <c r="G18" s="73" t="s">
        <v>191</v>
      </c>
      <c r="H18" s="74"/>
      <c r="I18" s="75">
        <f>VORN!I25</f>
      </c>
    </row>
    <row r="19">
      <c r="A19" s="76" t="s">
        <v>45</v>
      </c>
      <c r="B19" s="71" t="s">
        <v>30</v>
      </c>
      <c r="C19" s="72">
        <f>SUM('Stavební rozpočet'!AG12:AG48)</f>
      </c>
      <c r="D19" s="73" t="s">
        <v>45</v>
      </c>
      <c r="E19" s="74"/>
      <c r="F19" s="75" t="s">
        <v>45</v>
      </c>
      <c r="G19" s="73" t="s">
        <v>192</v>
      </c>
      <c r="H19" s="74"/>
      <c r="I19" s="75">
        <f>VORN!I26</f>
      </c>
    </row>
    <row r="20">
      <c r="A20" s="77" t="s">
        <v>193</v>
      </c>
      <c r="B20" s="78"/>
      <c r="C20" s="72">
        <f>SUM('Stavební rozpočet'!AH12:AH48)</f>
      </c>
      <c r="D20" s="73" t="s">
        <v>45</v>
      </c>
      <c r="E20" s="74"/>
      <c r="F20" s="75" t="s">
        <v>45</v>
      </c>
      <c r="G20" s="73" t="s">
        <v>45</v>
      </c>
      <c r="H20" s="74"/>
      <c r="I20" s="75" t="s">
        <v>45</v>
      </c>
    </row>
    <row r="21">
      <c r="A21" s="79" t="s">
        <v>194</v>
      </c>
      <c r="B21" s="80"/>
      <c r="C21" s="81">
        <f>SUM('Stavební rozpočet'!Z12:Z48)</f>
      </c>
      <c r="D21" s="82" t="s">
        <v>45</v>
      </c>
      <c r="E21" s="83"/>
      <c r="F21" s="84" t="s">
        <v>45</v>
      </c>
      <c r="G21" s="82" t="s">
        <v>45</v>
      </c>
      <c r="H21" s="83"/>
      <c r="I21" s="84" t="s">
        <v>45</v>
      </c>
    </row>
    <row r="22" customHeight="true" ht="16.5">
      <c r="A22" s="85" t="s">
        <v>195</v>
      </c>
      <c r="B22" s="86"/>
      <c r="C22" s="87">
        <f>SUM(C14:C21)</f>
      </c>
      <c r="D22" s="88" t="s">
        <v>196</v>
      </c>
      <c r="E22" s="86"/>
      <c r="F22" s="87">
        <f>SUM(F14:F21)</f>
      </c>
      <c r="G22" s="88" t="s">
        <v>197</v>
      </c>
      <c r="H22" s="86"/>
      <c r="I22" s="87">
        <f>SUM(I14:I21)</f>
      </c>
    </row>
    <row r="23">
      <c r="D23" s="77" t="s">
        <v>198</v>
      </c>
      <c r="E23" s="78"/>
      <c r="F23" s="89" t="n">
        <v>0</v>
      </c>
      <c r="G23" s="90" t="s">
        <v>199</v>
      </c>
      <c r="H23" s="78"/>
      <c r="I23" s="72" t="n">
        <v>0</v>
      </c>
    </row>
    <row r="24">
      <c r="G24" s="77" t="s">
        <v>200</v>
      </c>
      <c r="H24" s="78"/>
      <c r="I24" s="81">
        <f>vorn_sum</f>
      </c>
    </row>
    <row r="25">
      <c r="G25" s="77" t="s">
        <v>201</v>
      </c>
      <c r="H25" s="78"/>
      <c r="I25" s="87" t="n">
        <v>0</v>
      </c>
    </row>
    <row r="27">
      <c r="A27" s="91" t="s">
        <v>202</v>
      </c>
      <c r="B27" s="92"/>
      <c r="C27" s="93">
        <f>SUM('Stavební rozpočet'!AJ12:AJ48)</f>
      </c>
    </row>
    <row r="28">
      <c r="A28" s="94" t="s">
        <v>203</v>
      </c>
      <c r="B28" s="95"/>
      <c r="C28" s="96">
        <f>SUM('Stavební rozpočet'!AK12:AK48)+(F22+I22+F23+I23+I24+I25)</f>
      </c>
      <c r="D28" s="97" t="s">
        <v>204</v>
      </c>
      <c r="E28" s="92"/>
      <c r="F28" s="93">
        <f>ROUND(C28*(12/100),2)</f>
      </c>
      <c r="G28" s="97" t="s">
        <v>205</v>
      </c>
      <c r="H28" s="92"/>
      <c r="I28" s="93">
        <f>SUM(C27:C29)</f>
      </c>
    </row>
    <row r="29">
      <c r="A29" s="94" t="s">
        <v>206</v>
      </c>
      <c r="B29" s="95"/>
      <c r="C29" s="96">
        <f>SUM('Stavební rozpočet'!AL12:AL48)</f>
      </c>
      <c r="D29" s="98" t="s">
        <v>207</v>
      </c>
      <c r="E29" s="95"/>
      <c r="F29" s="96">
        <f>ROUND(C29*(21/100),2)</f>
      </c>
      <c r="G29" s="98" t="s">
        <v>208</v>
      </c>
      <c r="H29" s="95"/>
      <c r="I29" s="96">
        <f>SUM(F28:F29)+I28</f>
      </c>
    </row>
    <row r="31">
      <c r="A31" s="99" t="s">
        <v>209</v>
      </c>
      <c r="B31" s="100"/>
      <c r="C31" s="101"/>
      <c r="D31" s="102" t="s">
        <v>210</v>
      </c>
      <c r="E31" s="100"/>
      <c r="F31" s="101"/>
      <c r="G31" s="102" t="s">
        <v>211</v>
      </c>
      <c r="H31" s="100"/>
      <c r="I31" s="101"/>
    </row>
    <row r="32">
      <c r="A32" s="103" t="s">
        <v>45</v>
      </c>
      <c r="B32" s="104"/>
      <c r="C32" s="105"/>
      <c r="D32" s="106" t="s">
        <v>45</v>
      </c>
      <c r="E32" s="104"/>
      <c r="F32" s="105"/>
      <c r="G32" s="106" t="s">
        <v>45</v>
      </c>
      <c r="H32" s="104"/>
      <c r="I32" s="105"/>
    </row>
    <row r="33">
      <c r="A33" s="103" t="s">
        <v>45</v>
      </c>
      <c r="B33" s="104"/>
      <c r="C33" s="105"/>
      <c r="D33" s="106" t="s">
        <v>45</v>
      </c>
      <c r="E33" s="104"/>
      <c r="F33" s="105"/>
      <c r="G33" s="106" t="s">
        <v>45</v>
      </c>
      <c r="H33" s="104"/>
      <c r="I33" s="105"/>
    </row>
    <row r="34">
      <c r="A34" s="103" t="s">
        <v>45</v>
      </c>
      <c r="B34" s="104"/>
      <c r="C34" s="105"/>
      <c r="D34" s="106" t="s">
        <v>45</v>
      </c>
      <c r="E34" s="104"/>
      <c r="F34" s="105"/>
      <c r="G34" s="106" t="s">
        <v>45</v>
      </c>
      <c r="H34" s="104"/>
      <c r="I34" s="105"/>
    </row>
    <row r="35">
      <c r="A35" s="107" t="s">
        <v>212</v>
      </c>
      <c r="B35" s="108"/>
      <c r="C35" s="109"/>
      <c r="D35" s="110" t="s">
        <v>212</v>
      </c>
      <c r="E35" s="108"/>
      <c r="F35" s="109"/>
      <c r="G35" s="110" t="s">
        <v>212</v>
      </c>
      <c r="H35" s="108"/>
      <c r="I35" s="109"/>
    </row>
    <row r="36">
      <c r="A36" s="111" t="s">
        <v>168</v>
      </c>
    </row>
    <row r="37" customHeight="true" ht="12.75">
      <c r="A37" s="14" t="s">
        <v>45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61" t="s">
        <v>213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4</v>
      </c>
      <c r="F2" s="7">
        <f>'Stavební rozpočet'!I2</f>
      </c>
      <c r="G2" s="4"/>
      <c r="H2" s="7" t="s">
        <v>170</v>
      </c>
      <c r="I2" s="8" t="s">
        <v>45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170</v>
      </c>
      <c r="I4" s="12" t="s">
        <v>45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12</v>
      </c>
      <c r="F6" s="14">
        <f>'Stavební rozpočet'!I6</f>
      </c>
      <c r="G6" s="10"/>
      <c r="H6" s="14" t="s">
        <v>170</v>
      </c>
      <c r="I6" s="12" t="s">
        <v>45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rozpočet'!G4</f>
      </c>
      <c r="D8" s="10"/>
      <c r="E8" s="14" t="s">
        <v>11</v>
      </c>
      <c r="F8" s="14">
        <f>'Stavební rozpočet'!G6</f>
      </c>
      <c r="G8" s="10"/>
      <c r="H8" s="10" t="s">
        <v>171</v>
      </c>
      <c r="I8" s="62" t="n">
        <v>33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rozpočet'!C8</f>
      </c>
      <c r="D10" s="10"/>
      <c r="E10" s="14" t="s">
        <v>15</v>
      </c>
      <c r="F10" s="14">
        <f>'Stavební rozpočet'!I8</f>
      </c>
      <c r="G10" s="10"/>
      <c r="H10" s="10" t="s">
        <v>172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3">
      <c r="A13" s="112" t="s">
        <v>214</v>
      </c>
      <c r="B13" s="112"/>
      <c r="C13" s="112"/>
      <c r="D13" s="112"/>
      <c r="E13" s="112"/>
    </row>
    <row r="14">
      <c r="A14" s="113" t="s">
        <v>215</v>
      </c>
      <c r="B14" s="114"/>
      <c r="C14" s="114"/>
      <c r="D14" s="114"/>
      <c r="E14" s="115"/>
      <c r="F14" s="116" t="s">
        <v>216</v>
      </c>
      <c r="G14" s="116" t="s">
        <v>217</v>
      </c>
      <c r="H14" s="116" t="s">
        <v>218</v>
      </c>
      <c r="I14" s="116" t="s">
        <v>216</v>
      </c>
    </row>
    <row r="15">
      <c r="A15" s="117" t="s">
        <v>182</v>
      </c>
      <c r="B15" s="118"/>
      <c r="C15" s="118"/>
      <c r="D15" s="118"/>
      <c r="E15" s="119"/>
      <c r="F15" s="120" t="n">
        <v>0</v>
      </c>
      <c r="G15" s="121" t="s">
        <v>45</v>
      </c>
      <c r="H15" s="121" t="s">
        <v>45</v>
      </c>
      <c r="I15" s="120">
        <f>F15</f>
      </c>
    </row>
    <row r="16">
      <c r="A16" s="117" t="s">
        <v>184</v>
      </c>
      <c r="B16" s="118"/>
      <c r="C16" s="118"/>
      <c r="D16" s="118"/>
      <c r="E16" s="119"/>
      <c r="F16" s="120" t="n">
        <v>0</v>
      </c>
      <c r="G16" s="121" t="s">
        <v>45</v>
      </c>
      <c r="H16" s="121" t="s">
        <v>45</v>
      </c>
      <c r="I16" s="120">
        <f>F16</f>
      </c>
    </row>
    <row r="17">
      <c r="A17" s="122" t="s">
        <v>187</v>
      </c>
      <c r="B17" s="123"/>
      <c r="C17" s="123"/>
      <c r="D17" s="123"/>
      <c r="E17" s="124"/>
      <c r="F17" s="125" t="n">
        <v>0</v>
      </c>
      <c r="G17" s="126" t="s">
        <v>45</v>
      </c>
      <c r="H17" s="126" t="s">
        <v>45</v>
      </c>
      <c r="I17" s="125">
        <f>F17</f>
      </c>
    </row>
    <row r="18">
      <c r="A18" s="127" t="s">
        <v>219</v>
      </c>
      <c r="B18" s="128"/>
      <c r="C18" s="128"/>
      <c r="D18" s="128"/>
      <c r="E18" s="129"/>
      <c r="F18" s="130" t="s">
        <v>45</v>
      </c>
      <c r="G18" s="131" t="s">
        <v>45</v>
      </c>
      <c r="H18" s="131" t="s">
        <v>45</v>
      </c>
      <c r="I18" s="132">
        <f>SUM(I15:I17)</f>
      </c>
    </row>
    <row r="20">
      <c r="A20" s="113" t="s">
        <v>179</v>
      </c>
      <c r="B20" s="114"/>
      <c r="C20" s="114"/>
      <c r="D20" s="114"/>
      <c r="E20" s="115"/>
      <c r="F20" s="116" t="s">
        <v>216</v>
      </c>
      <c r="G20" s="116" t="s">
        <v>217</v>
      </c>
      <c r="H20" s="116" t="s">
        <v>218</v>
      </c>
      <c r="I20" s="116" t="s">
        <v>216</v>
      </c>
    </row>
    <row r="21">
      <c r="A21" s="117" t="s">
        <v>183</v>
      </c>
      <c r="B21" s="118"/>
      <c r="C21" s="118"/>
      <c r="D21" s="118"/>
      <c r="E21" s="119"/>
      <c r="F21" s="120" t="n">
        <v>0</v>
      </c>
      <c r="G21" s="121" t="s">
        <v>45</v>
      </c>
      <c r="H21" s="121" t="s">
        <v>45</v>
      </c>
      <c r="I21" s="120">
        <f>F21</f>
      </c>
    </row>
    <row r="22">
      <c r="A22" s="117" t="s">
        <v>185</v>
      </c>
      <c r="B22" s="118"/>
      <c r="C22" s="118"/>
      <c r="D22" s="118"/>
      <c r="E22" s="119"/>
      <c r="F22" s="120" t="n">
        <v>0</v>
      </c>
      <c r="G22" s="121" t="s">
        <v>45</v>
      </c>
      <c r="H22" s="121" t="s">
        <v>45</v>
      </c>
      <c r="I22" s="120">
        <f>F22</f>
      </c>
    </row>
    <row r="23">
      <c r="A23" s="117" t="s">
        <v>188</v>
      </c>
      <c r="B23" s="118"/>
      <c r="C23" s="118"/>
      <c r="D23" s="118"/>
      <c r="E23" s="119"/>
      <c r="F23" s="120" t="n">
        <v>0</v>
      </c>
      <c r="G23" s="121" t="s">
        <v>45</v>
      </c>
      <c r="H23" s="121" t="s">
        <v>45</v>
      </c>
      <c r="I23" s="120">
        <f>F23</f>
      </c>
    </row>
    <row r="24">
      <c r="A24" s="117" t="s">
        <v>189</v>
      </c>
      <c r="B24" s="118"/>
      <c r="C24" s="118"/>
      <c r="D24" s="118"/>
      <c r="E24" s="119"/>
      <c r="F24" s="120" t="n">
        <v>0</v>
      </c>
      <c r="G24" s="121" t="s">
        <v>45</v>
      </c>
      <c r="H24" s="121" t="s">
        <v>45</v>
      </c>
      <c r="I24" s="120">
        <f>F24</f>
      </c>
    </row>
    <row r="25">
      <c r="A25" s="117" t="s">
        <v>191</v>
      </c>
      <c r="B25" s="118"/>
      <c r="C25" s="118"/>
      <c r="D25" s="118"/>
      <c r="E25" s="119"/>
      <c r="F25" s="120" t="n">
        <v>0</v>
      </c>
      <c r="G25" s="121" t="s">
        <v>45</v>
      </c>
      <c r="H25" s="121" t="s">
        <v>45</v>
      </c>
      <c r="I25" s="120">
        <f>F25</f>
      </c>
    </row>
    <row r="26">
      <c r="A26" s="122" t="s">
        <v>192</v>
      </c>
      <c r="B26" s="123"/>
      <c r="C26" s="123"/>
      <c r="D26" s="123"/>
      <c r="E26" s="124"/>
      <c r="F26" s="125" t="n">
        <v>0</v>
      </c>
      <c r="G26" s="126" t="s">
        <v>45</v>
      </c>
      <c r="H26" s="126" t="s">
        <v>45</v>
      </c>
      <c r="I26" s="125">
        <f>F26</f>
      </c>
    </row>
    <row r="27">
      <c r="A27" s="127" t="s">
        <v>220</v>
      </c>
      <c r="B27" s="128"/>
      <c r="C27" s="128"/>
      <c r="D27" s="128"/>
      <c r="E27" s="129"/>
      <c r="F27" s="130" t="s">
        <v>45</v>
      </c>
      <c r="G27" s="131" t="s">
        <v>45</v>
      </c>
      <c r="H27" s="131" t="s">
        <v>45</v>
      </c>
      <c r="I27" s="132">
        <f>SUM(I21:I26)</f>
      </c>
    </row>
    <row r="29">
      <c r="A29" s="133" t="s">
        <v>221</v>
      </c>
      <c r="B29" s="134"/>
      <c r="C29" s="134"/>
      <c r="D29" s="134"/>
      <c r="E29" s="135"/>
      <c r="F29" s="136">
        <f>I18+I27</f>
      </c>
      <c r="G29" s="137"/>
      <c r="H29" s="137"/>
      <c r="I29" s="138"/>
    </row>
    <row r="33">
      <c r="A33" s="112" t="s">
        <v>222</v>
      </c>
      <c r="B33" s="112"/>
      <c r="C33" s="112"/>
      <c r="D33" s="112"/>
      <c r="E33" s="112"/>
    </row>
    <row r="34">
      <c r="A34" s="113" t="s">
        <v>223</v>
      </c>
      <c r="B34" s="114"/>
      <c r="C34" s="114"/>
      <c r="D34" s="114"/>
      <c r="E34" s="115"/>
      <c r="F34" s="116" t="s">
        <v>216</v>
      </c>
      <c r="G34" s="116" t="s">
        <v>217</v>
      </c>
      <c r="H34" s="116" t="s">
        <v>218</v>
      </c>
      <c r="I34" s="116" t="s">
        <v>216</v>
      </c>
    </row>
    <row r="35">
      <c r="A35" s="122" t="s">
        <v>45</v>
      </c>
      <c r="B35" s="123"/>
      <c r="C35" s="123"/>
      <c r="D35" s="123"/>
      <c r="E35" s="124"/>
      <c r="F35" s="125" t="n">
        <v>0</v>
      </c>
      <c r="G35" s="126" t="s">
        <v>45</v>
      </c>
      <c r="H35" s="126" t="s">
        <v>45</v>
      </c>
      <c r="I35" s="125">
        <f>F35</f>
      </c>
    </row>
    <row r="36">
      <c r="A36" s="127" t="s">
        <v>224</v>
      </c>
      <c r="B36" s="128"/>
      <c r="C36" s="128"/>
      <c r="D36" s="128"/>
      <c r="E36" s="129"/>
      <c r="F36" s="130" t="s">
        <v>45</v>
      </c>
      <c r="G36" s="131" t="s">
        <v>45</v>
      </c>
      <c r="H36" s="131" t="s">
        <v>45</v>
      </c>
      <c r="I36" s="132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